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wamp\www\web 800\PDF\"/>
    </mc:Choice>
  </mc:AlternateContent>
  <bookViews>
    <workbookView xWindow="0" yWindow="0" windowWidth="20490" windowHeight="7905"/>
  </bookViews>
  <sheets>
    <sheet name="Feuil1" sheetId="1" r:id="rId1"/>
    <sheet name="Feuil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62" i="1" l="1"/>
  <c r="L62" i="1"/>
  <c r="K62" i="1"/>
  <c r="J62" i="1"/>
  <c r="I62" i="1"/>
  <c r="H62" i="1"/>
  <c r="G62" i="1"/>
  <c r="F62" i="1"/>
  <c r="E62" i="1"/>
  <c r="D62" i="1"/>
  <c r="C62" i="1"/>
  <c r="B62" i="1"/>
  <c r="M61" i="1"/>
  <c r="L61" i="1"/>
  <c r="K61" i="1"/>
  <c r="J61" i="1"/>
  <c r="I61" i="1"/>
  <c r="H61" i="1"/>
  <c r="G61" i="1"/>
  <c r="F61" i="1"/>
  <c r="E61" i="1"/>
  <c r="D61" i="1"/>
  <c r="C61" i="1"/>
  <c r="B61" i="1"/>
  <c r="M60" i="1"/>
  <c r="L60" i="1"/>
  <c r="K60" i="1"/>
  <c r="J60" i="1"/>
  <c r="I60" i="1"/>
  <c r="H60" i="1"/>
  <c r="G60" i="1"/>
  <c r="F60" i="1"/>
  <c r="E60" i="1"/>
  <c r="D60" i="1"/>
  <c r="C60" i="1"/>
  <c r="B60" i="1"/>
  <c r="M59" i="1"/>
  <c r="L59" i="1"/>
  <c r="K59" i="1"/>
  <c r="J59" i="1"/>
  <c r="I59" i="1"/>
  <c r="H59" i="1"/>
  <c r="G59" i="1"/>
  <c r="F59" i="1"/>
  <c r="E59" i="1"/>
  <c r="D59" i="1"/>
  <c r="C59" i="1"/>
  <c r="B59" i="1"/>
  <c r="M58" i="1"/>
  <c r="L58" i="1"/>
  <c r="K58" i="1"/>
  <c r="J58" i="1"/>
  <c r="I58" i="1"/>
  <c r="H58" i="1"/>
  <c r="G58" i="1"/>
  <c r="F58" i="1"/>
  <c r="E58" i="1"/>
  <c r="D58" i="1"/>
  <c r="C58" i="1"/>
  <c r="B58" i="1"/>
  <c r="M57" i="1"/>
  <c r="L57" i="1"/>
  <c r="K57" i="1"/>
  <c r="J57" i="1"/>
  <c r="I57" i="1"/>
  <c r="H57" i="1"/>
  <c r="G57" i="1"/>
  <c r="F57" i="1"/>
  <c r="E57" i="1"/>
  <c r="D57" i="1"/>
  <c r="C57" i="1"/>
  <c r="B57" i="1"/>
  <c r="M56" i="1"/>
  <c r="L56" i="1"/>
  <c r="K56" i="1"/>
  <c r="J56" i="1"/>
  <c r="I56" i="1"/>
  <c r="H56" i="1"/>
  <c r="G56" i="1"/>
  <c r="F56" i="1"/>
  <c r="E56" i="1"/>
  <c r="D56" i="1"/>
  <c r="C56" i="1"/>
  <c r="B56" i="1"/>
  <c r="M55" i="1"/>
  <c r="L55" i="1"/>
  <c r="K55" i="1"/>
  <c r="J55" i="1"/>
  <c r="I55" i="1"/>
  <c r="H55" i="1"/>
  <c r="G55" i="1"/>
  <c r="F55" i="1"/>
  <c r="E55" i="1"/>
  <c r="D55" i="1"/>
  <c r="C55" i="1"/>
  <c r="B55" i="1"/>
  <c r="M54" i="1"/>
  <c r="L54" i="1"/>
  <c r="K54" i="1"/>
  <c r="J54" i="1"/>
  <c r="I54" i="1"/>
  <c r="H54" i="1"/>
  <c r="G54" i="1"/>
  <c r="F54" i="1"/>
  <c r="E54" i="1"/>
  <c r="D54" i="1"/>
  <c r="C54" i="1"/>
  <c r="B54" i="1"/>
  <c r="M53" i="1"/>
  <c r="L53" i="1"/>
  <c r="K53" i="1"/>
  <c r="J53" i="1"/>
  <c r="I53" i="1"/>
  <c r="H53" i="1"/>
  <c r="G53" i="1"/>
  <c r="F53" i="1"/>
  <c r="E53" i="1"/>
  <c r="D53" i="1"/>
  <c r="C53" i="1"/>
  <c r="B53" i="1"/>
  <c r="M52" i="1"/>
  <c r="L52" i="1"/>
  <c r="K52" i="1"/>
  <c r="J52" i="1"/>
  <c r="I52" i="1"/>
  <c r="H52" i="1"/>
  <c r="G52" i="1"/>
  <c r="F52" i="1"/>
  <c r="E52" i="1"/>
  <c r="D52" i="1"/>
  <c r="C52" i="1"/>
  <c r="B52" i="1"/>
  <c r="M51" i="1"/>
  <c r="L51" i="1"/>
  <c r="K51" i="1"/>
  <c r="J51" i="1"/>
  <c r="I51" i="1"/>
  <c r="H51" i="1"/>
  <c r="G51" i="1"/>
  <c r="F51" i="1"/>
  <c r="E51" i="1"/>
  <c r="D51" i="1"/>
  <c r="C51" i="1"/>
  <c r="B51" i="1"/>
  <c r="M50" i="1"/>
  <c r="L50" i="1"/>
  <c r="K50" i="1"/>
  <c r="J50" i="1"/>
  <c r="I50" i="1"/>
  <c r="H50" i="1"/>
  <c r="G50" i="1"/>
  <c r="F50" i="1"/>
  <c r="E50" i="1"/>
  <c r="D50" i="1"/>
  <c r="C50" i="1"/>
  <c r="B50" i="1"/>
  <c r="M49" i="1"/>
  <c r="L49" i="1"/>
  <c r="K49" i="1"/>
  <c r="J49" i="1"/>
  <c r="I49" i="1"/>
  <c r="H49" i="1"/>
  <c r="G49" i="1"/>
  <c r="F49" i="1"/>
  <c r="E49" i="1"/>
  <c r="D49" i="1"/>
  <c r="C49" i="1"/>
  <c r="B49" i="1"/>
  <c r="M48" i="1"/>
  <c r="L48" i="1"/>
  <c r="K48" i="1"/>
  <c r="J48" i="1"/>
  <c r="I48" i="1"/>
  <c r="H48" i="1"/>
  <c r="G48" i="1"/>
  <c r="F48" i="1"/>
  <c r="E48" i="1"/>
  <c r="D48" i="1"/>
  <c r="C48" i="1"/>
  <c r="B48" i="1"/>
  <c r="M47" i="1"/>
  <c r="L47" i="1"/>
  <c r="K47" i="1"/>
  <c r="J47" i="1"/>
  <c r="I47" i="1"/>
  <c r="H47" i="1"/>
  <c r="G47" i="1"/>
  <c r="F47" i="1"/>
  <c r="E47" i="1"/>
  <c r="D47" i="1"/>
  <c r="C47" i="1"/>
  <c r="B47" i="1"/>
  <c r="M46" i="1"/>
  <c r="L46" i="1"/>
  <c r="K46" i="1"/>
  <c r="J46" i="1"/>
  <c r="I46" i="1"/>
  <c r="H46" i="1"/>
  <c r="G46" i="1"/>
  <c r="F46" i="1"/>
  <c r="E46" i="1"/>
  <c r="D46" i="1"/>
  <c r="C46" i="1"/>
  <c r="B46" i="1"/>
  <c r="M45" i="1"/>
  <c r="L45" i="1"/>
  <c r="K45" i="1"/>
  <c r="J45" i="1"/>
  <c r="I45" i="1"/>
  <c r="H45" i="1"/>
  <c r="G45" i="1"/>
  <c r="F45" i="1"/>
  <c r="E45" i="1"/>
  <c r="D45" i="1"/>
  <c r="C45" i="1"/>
  <c r="B45" i="1"/>
  <c r="M44" i="1"/>
  <c r="M63" i="1" s="1"/>
  <c r="L44" i="1"/>
  <c r="L63" i="1" s="1"/>
  <c r="K44" i="1"/>
  <c r="K63" i="1" s="1"/>
  <c r="J44" i="1"/>
  <c r="I44" i="1"/>
  <c r="I63" i="1" s="1"/>
  <c r="H44" i="1"/>
  <c r="H63" i="1" s="1"/>
  <c r="G44" i="1"/>
  <c r="G63" i="1" s="1"/>
  <c r="F44" i="1"/>
  <c r="F63" i="1" s="1"/>
  <c r="E44" i="1"/>
  <c r="E63" i="1" s="1"/>
  <c r="D44" i="1"/>
  <c r="C44" i="1"/>
  <c r="B44" i="1"/>
  <c r="M43" i="1"/>
  <c r="L43" i="1"/>
  <c r="K43" i="1"/>
  <c r="J43" i="1"/>
  <c r="I43" i="1"/>
  <c r="H43" i="1"/>
  <c r="G43" i="1"/>
  <c r="F43" i="1"/>
  <c r="E43" i="1"/>
  <c r="D43" i="1"/>
  <c r="D63" i="1" s="1"/>
  <c r="C43" i="1"/>
  <c r="C63" i="1" s="1"/>
  <c r="B43" i="1"/>
  <c r="B63" i="1" s="1"/>
  <c r="J63" i="1" l="1"/>
  <c r="B74" i="1"/>
  <c r="B75" i="1" s="1"/>
  <c r="D79" i="1" s="1"/>
  <c r="B67" i="1"/>
  <c r="B65" i="1"/>
  <c r="B66" i="1"/>
  <c r="B64" i="1"/>
  <c r="B68" i="1"/>
  <c r="F74" i="1"/>
  <c r="F75" i="1" s="1"/>
  <c r="D81" i="1" s="1"/>
  <c r="F67" i="1"/>
  <c r="F65" i="1"/>
  <c r="F68" i="1"/>
  <c r="F66" i="1"/>
  <c r="F64" i="1"/>
  <c r="R74" i="1"/>
  <c r="R75" i="1" s="1"/>
  <c r="F83" i="1" s="1"/>
  <c r="J67" i="1"/>
  <c r="J65" i="1"/>
  <c r="J66" i="1"/>
  <c r="J68" i="1"/>
  <c r="J64" i="1"/>
  <c r="C74" i="1"/>
  <c r="C75" i="1" s="1"/>
  <c r="C80" i="1" s="1"/>
  <c r="C65" i="1"/>
  <c r="C68" i="1"/>
  <c r="C66" i="1"/>
  <c r="C64" i="1"/>
  <c r="C67" i="1"/>
  <c r="G67" i="1"/>
  <c r="G68" i="1"/>
  <c r="G66" i="1"/>
  <c r="G64" i="1"/>
  <c r="G74" i="1"/>
  <c r="G75" i="1" s="1"/>
  <c r="F81" i="1" s="1"/>
  <c r="G65" i="1"/>
  <c r="S74" i="1"/>
  <c r="S75" i="1" s="1"/>
  <c r="C84" i="1" s="1"/>
  <c r="K65" i="1"/>
  <c r="K68" i="1"/>
  <c r="K66" i="1"/>
  <c r="K64" i="1"/>
  <c r="K67" i="1"/>
  <c r="D68" i="1"/>
  <c r="D66" i="1"/>
  <c r="D64" i="1"/>
  <c r="D67" i="1"/>
  <c r="D74" i="1"/>
  <c r="D75" i="1" s="1"/>
  <c r="E80" i="1" s="1"/>
  <c r="D65" i="1"/>
  <c r="H68" i="1"/>
  <c r="H66" i="1"/>
  <c r="H64" i="1"/>
  <c r="P74" i="1"/>
  <c r="P75" i="1" s="1"/>
  <c r="B83" i="1" s="1"/>
  <c r="H65" i="1"/>
  <c r="H67" i="1"/>
  <c r="L68" i="1"/>
  <c r="L66" i="1"/>
  <c r="L64" i="1"/>
  <c r="L67" i="1"/>
  <c r="T74" i="1"/>
  <c r="T75" i="1" s="1"/>
  <c r="E84" i="1" s="1"/>
  <c r="L65" i="1"/>
  <c r="E66" i="1"/>
  <c r="E74" i="1"/>
  <c r="E75" i="1" s="1"/>
  <c r="B81" i="1" s="1"/>
  <c r="E67" i="1"/>
  <c r="E65" i="1"/>
  <c r="E68" i="1"/>
  <c r="E64" i="1"/>
  <c r="I68" i="1"/>
  <c r="I64" i="1"/>
  <c r="Q74" i="1"/>
  <c r="Q75" i="1" s="1"/>
  <c r="D83" i="1" s="1"/>
  <c r="I67" i="1"/>
  <c r="I65" i="1"/>
  <c r="I66" i="1"/>
  <c r="M66" i="1"/>
  <c r="U74" i="1"/>
  <c r="U75" i="1" s="1"/>
  <c r="D85" i="1" s="1"/>
  <c r="M67" i="1"/>
  <c r="M65" i="1"/>
  <c r="M68" i="1"/>
  <c r="M64" i="1"/>
  <c r="AA27" i="1"/>
  <c r="AA24" i="1"/>
  <c r="AA23" i="1"/>
  <c r="AA22" i="1"/>
  <c r="N66" i="1" l="1"/>
  <c r="O66" i="1" s="1"/>
  <c r="G90" i="1" s="1"/>
  <c r="N65" i="1"/>
  <c r="O65" i="1" s="1"/>
  <c r="E90" i="1" s="1"/>
  <c r="N68" i="1"/>
  <c r="O68" i="1" s="1"/>
  <c r="K90" i="1" s="1"/>
  <c r="N67" i="1"/>
  <c r="O67" i="1" s="1"/>
  <c r="I90" i="1" s="1"/>
  <c r="N64" i="1"/>
  <c r="O64" i="1" s="1"/>
  <c r="C90" i="1" s="1"/>
  <c r="AA28" i="1"/>
  <c r="AA26" i="1"/>
  <c r="AA25" i="1"/>
  <c r="AA21" i="1"/>
  <c r="AA29" i="1"/>
</calcChain>
</file>

<file path=xl/sharedStrings.xml><?xml version="1.0" encoding="utf-8"?>
<sst xmlns="http://schemas.openxmlformats.org/spreadsheetml/2006/main" count="107" uniqueCount="94">
  <si>
    <t>2. Votre classement est reporté dans les cases ci-dessous.</t>
  </si>
  <si>
    <t>De celles qui vous correspondent le mieux à celles qui ne vous conviennent pas du tout.</t>
  </si>
  <si>
    <t>Quel cyclotouriste êtes -vous?</t>
  </si>
  <si>
    <t xml:space="preserve">et ainsi d'optimiser votre Capital-Santé en toute sécurité. </t>
  </si>
  <si>
    <t>Repondez le plus honnêtement possible aux</t>
  </si>
  <si>
    <t>votre profil, ou du moins, votre tendance.</t>
  </si>
  <si>
    <t>pour optimiser votre pratique du point de vue Forme-Santé.</t>
  </si>
  <si>
    <t>D'après Daniel Jacob, Instructeur fédéral FFCT</t>
  </si>
  <si>
    <t>revue Cyclotourisme, n°673, nov. 2017, 38-41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</si>
  <si>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</si>
  <si>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</si>
  <si>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</si>
  <si>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</si>
  <si>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</si>
  <si>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</si>
  <si>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</si>
  <si>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</si>
  <si>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</si>
  <si>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</si>
  <si>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</si>
  <si>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</si>
  <si>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</si>
  <si>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</si>
  <si>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</si>
  <si>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</si>
  <si>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</si>
  <si>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R</t>
  </si>
  <si>
    <t>S</t>
  </si>
  <si>
    <t>T</t>
  </si>
  <si>
    <t>Exploitation</t>
  </si>
  <si>
    <t>Je préfère le VTT, c'est plus "fun"</t>
  </si>
  <si>
    <t>Je préfère rouler calmement en groupe et pouvoir discuter avec les copains</t>
  </si>
  <si>
    <t>Quand je route, j'utilise souvent mon cadiofréquencemètre; cela m'est utile</t>
  </si>
  <si>
    <t>J'aime bien les sorties "club" quand on peut se "tirer la bourre"</t>
  </si>
  <si>
    <t>Un plaisir: les descentes où la vigilence et les qualités de pilotage sont nécessaires</t>
  </si>
  <si>
    <t xml:space="preserve">En groupe, j'aime bien qu'il y ait un capitaine de route pour réguler l'allure </t>
  </si>
  <si>
    <t xml:space="preserve">Le vélo, pour moi, c'est un moyen de prendre l'air et de "voir du pays" </t>
  </si>
  <si>
    <t>A chaque sortie, ou presque, je regarde ma vitesse moyenne</t>
  </si>
  <si>
    <t>Dès que nécessaire, je n'hésite pas à mettre pied à terre</t>
  </si>
  <si>
    <t>Une bonne sortie, c'est quand je reviens "fatigué mais heureux"</t>
  </si>
  <si>
    <t>Quand une côte se présente, j'aime "monter dans les tours"</t>
  </si>
  <si>
    <t>J'aime les défis  de longues distances (type diagonale, Paris-Brest-Paris…)</t>
  </si>
  <si>
    <t>Les crèmes chauffantes avant de partir, c'est utile, surtout l'hiver</t>
  </si>
  <si>
    <t>Chaque année, j'essaie de progresser (ou de ne pas perdre)</t>
  </si>
  <si>
    <t>L'hiver, je m'entretiens pour ne pas perdre la forme</t>
  </si>
  <si>
    <t>Quand je roule, je m'interesse au fonctionnement de mon corps. Je "l'écoute"</t>
  </si>
  <si>
    <t>Je n'hésite pas à varier mes allures lors d'une sortie. C'est bon pour la santé</t>
  </si>
  <si>
    <t>Je ne me préoccupe pas de fréquence cardiaque. Je roule au "feeling"</t>
  </si>
  <si>
    <t>J'aime faire une cyclo-sportive de temps en temps</t>
  </si>
  <si>
    <t>1. Classez ci-dessous les différentes propositions de 1 à 20.</t>
  </si>
  <si>
    <t>Je roule pour augmenter mon endurance</t>
  </si>
  <si>
    <t>propositions suivantes et vous obtiendrez</t>
  </si>
  <si>
    <t>choix 1</t>
  </si>
  <si>
    <t>choix 2</t>
  </si>
  <si>
    <t>choix 3</t>
  </si>
  <si>
    <t>choix 4</t>
  </si>
  <si>
    <t>choix 5</t>
  </si>
  <si>
    <t>choix 6</t>
  </si>
  <si>
    <t>choix 15</t>
  </si>
  <si>
    <t>choix 16</t>
  </si>
  <si>
    <t>choix 17</t>
  </si>
  <si>
    <t>choix 18</t>
  </si>
  <si>
    <t>choix 19</t>
  </si>
  <si>
    <t>choix 20</t>
  </si>
  <si>
    <t>+2 pt</t>
  </si>
  <si>
    <t>+1 pt</t>
  </si>
  <si>
    <t>-1 pt</t>
  </si>
  <si>
    <t>-2 pt</t>
  </si>
  <si>
    <t>-3 pt</t>
  </si>
  <si>
    <t>Profils</t>
  </si>
  <si>
    <t>Rouge</t>
  </si>
  <si>
    <t>Bleu</t>
  </si>
  <si>
    <t>Jaune</t>
  </si>
  <si>
    <t>Vert</t>
  </si>
  <si>
    <t>Blanc</t>
  </si>
  <si>
    <t>Sportif</t>
  </si>
  <si>
    <t>Vertige</t>
  </si>
  <si>
    <t>Santé</t>
  </si>
  <si>
    <t>Touriste</t>
  </si>
  <si>
    <t>Culture cyclo</t>
  </si>
  <si>
    <t>Nb de pts</t>
  </si>
  <si>
    <t>0 pt</t>
  </si>
  <si>
    <t>+3pt</t>
  </si>
  <si>
    <t>Ce test vous permettra de connaître votre profil</t>
  </si>
  <si>
    <t>Seules les 6 premières (1 à 6) et les 6 dernières (15 à 20) sont prises en compte pour la détermination du profil.</t>
  </si>
  <si>
    <r>
      <t xml:space="preserve">Selon ce profil, quelques pistes sont données en </t>
    </r>
    <r>
      <rPr>
        <b/>
        <sz val="11"/>
        <color rgb="FFFF0000"/>
        <rFont val="Calibri"/>
        <family val="2"/>
        <scheme val="minor"/>
      </rPr>
      <t>feuille 2</t>
    </r>
    <r>
      <rPr>
        <sz val="11"/>
        <color theme="1"/>
        <rFont val="Calibri"/>
        <family val="2"/>
        <scheme val="minor"/>
      </rPr>
      <t xml:space="preserve"> </t>
    </r>
  </si>
  <si>
    <t>Peut-être avez-vous mis en évidence un goût marqué pour l'aspect sportif ou aimez-vous chercher</t>
  </si>
  <si>
    <t>vos limites et,  pourquoi pas, prendre des risques?</t>
  </si>
  <si>
    <t>Peut-être, utilisez-vous votre vélo simplement pour augmenter votre rayon d'action, découvrir</t>
  </si>
  <si>
    <t xml:space="preserve">en douceur notre patrimoine. Il se peut que, pour vous, la pratique cycliste s'intègre tout simplement </t>
  </si>
  <si>
    <t>à votre hygiène de vie. Autre profil possible: vous avez un attachement particulier à la culture cycliste</t>
  </si>
  <si>
    <t>et à tout ce qui se dit et se fait dans le "monde du vélo". A chaque profil son rapport à la santé.</t>
  </si>
  <si>
    <r>
      <t xml:space="preserve">Nous allons voir en </t>
    </r>
    <r>
      <rPr>
        <sz val="11"/>
        <color rgb="FFFF0000"/>
        <rFont val="Calibri"/>
        <family val="2"/>
        <scheme val="minor"/>
      </rPr>
      <t>feuille 2</t>
    </r>
    <r>
      <rPr>
        <sz val="11"/>
        <color theme="1"/>
        <rFont val="Calibri"/>
        <family val="2"/>
        <scheme val="minor"/>
      </rPr>
      <t xml:space="preserve"> comment optimiser les bienfaits pour chaque type de pratiquant.</t>
    </r>
  </si>
  <si>
    <t>3, Votre profil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</si>
</sst>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70C0"/>
        <bgColor indexed="64"/>
      </patternFill>
    </fill>
  </fills>
  <borders count="31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0" xfId="0" quotePrefix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2" borderId="2" xfId="0" applyFill="1" applyBorder="1" applyAlignment="1">
      <alignment horizontal="center"/>
    </xf>
    <xf numFmtId="0" fontId="0" fillId="3" borderId="5" xfId="0" applyFill="1" applyBorder="1" applyAlignment="1">
      <alignment horizontal="center"/>
    </xf>
    <xf numFmtId="0" fontId="0" fillId="0" borderId="0" xfId="0" applyAlignment="1">
      <alignment horizontal="center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1" fillId="0" borderId="0" xfId="0" applyFont="1"/>
    <xf numFmtId="0" fontId="0" fillId="0" borderId="0" xfId="0" applyFont="1"/>
    <xf numFmtId="0" fontId="0" fillId="0" borderId="0" xfId="0" applyBorder="1"/>
    <xf numFmtId="0" fontId="1" fillId="0" borderId="11" xfId="0" applyFont="1" applyBorder="1"/>
    <xf numFmtId="0" fontId="1" fillId="0" borderId="12" xfId="0" applyFont="1" applyBorder="1"/>
    <xf numFmtId="0" fontId="1" fillId="0" borderId="13" xfId="0" applyFont="1" applyBorder="1"/>
    <xf numFmtId="0" fontId="0" fillId="0" borderId="0" xfId="0" quotePrefix="1" applyAlignment="1">
      <alignment horizontal="center"/>
    </xf>
    <xf numFmtId="0" fontId="2" fillId="0" borderId="0" xfId="0" applyFont="1"/>
    <xf numFmtId="0" fontId="1" fillId="0" borderId="25" xfId="0" applyFont="1" applyBorder="1"/>
    <xf numFmtId="0" fontId="1" fillId="0" borderId="25" xfId="0" quotePrefix="1" applyFont="1" applyBorder="1"/>
    <xf numFmtId="0" fontId="1" fillId="0" borderId="0" xfId="0" applyFont="1" applyBorder="1"/>
    <xf numFmtId="0" fontId="0" fillId="0" borderId="0" xfId="0" quotePrefix="1" applyFill="1" applyAlignment="1">
      <alignment horizontal="center"/>
    </xf>
    <xf numFmtId="0" fontId="0" fillId="0" borderId="0" xfId="0" applyFill="1" applyAlignment="1">
      <alignment horizontal="center"/>
    </xf>
    <xf numFmtId="0" fontId="0" fillId="0" borderId="12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2" borderId="26" xfId="0" applyFill="1" applyBorder="1" applyAlignment="1">
      <alignment horizontal="center"/>
    </xf>
    <xf numFmtId="0" fontId="0" fillId="0" borderId="27" xfId="0" applyBorder="1" applyAlignment="1">
      <alignment horizontal="center"/>
    </xf>
    <xf numFmtId="0" fontId="0" fillId="0" borderId="28" xfId="0" applyBorder="1" applyAlignment="1">
      <alignment horizontal="center"/>
    </xf>
    <xf numFmtId="0" fontId="4" fillId="0" borderId="0" xfId="0" applyFont="1"/>
    <xf numFmtId="0" fontId="5" fillId="0" borderId="0" xfId="0" applyFont="1"/>
    <xf numFmtId="0" fontId="0" fillId="0" borderId="14" xfId="0" applyBorder="1" applyAlignment="1" applyProtection="1">
      <alignment horizontal="center"/>
      <protection locked="0"/>
    </xf>
    <xf numFmtId="0" fontId="0" fillId="0" borderId="15" xfId="0" applyBorder="1" applyAlignment="1" applyProtection="1">
      <alignment horizontal="center"/>
      <protection locked="0"/>
    </xf>
    <xf numFmtId="0" fontId="0" fillId="0" borderId="16" xfId="0" applyBorder="1" applyAlignment="1" applyProtection="1">
      <alignment horizontal="center"/>
      <protection locked="0"/>
    </xf>
    <xf numFmtId="0" fontId="0" fillId="0" borderId="6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18" xfId="0" applyBorder="1" applyAlignment="1">
      <alignment horizontal="center"/>
    </xf>
    <xf numFmtId="0" fontId="1" fillId="4" borderId="19" xfId="0" applyFont="1" applyFill="1" applyBorder="1" applyAlignment="1">
      <alignment horizontal="center"/>
    </xf>
    <xf numFmtId="0" fontId="1" fillId="4" borderId="10" xfId="0" applyFont="1" applyFill="1" applyBorder="1" applyAlignment="1">
      <alignment horizontal="center"/>
    </xf>
    <xf numFmtId="0" fontId="1" fillId="7" borderId="23" xfId="0" applyFont="1" applyFill="1" applyBorder="1" applyAlignment="1">
      <alignment horizontal="center"/>
    </xf>
    <xf numFmtId="0" fontId="1" fillId="7" borderId="24" xfId="0" applyFont="1" applyFill="1" applyBorder="1" applyAlignment="1">
      <alignment horizontal="center"/>
    </xf>
    <xf numFmtId="0" fontId="1" fillId="5" borderId="10" xfId="0" applyFont="1" applyFill="1" applyBorder="1" applyAlignment="1">
      <alignment horizontal="center"/>
    </xf>
    <xf numFmtId="0" fontId="1" fillId="6" borderId="23" xfId="0" applyFont="1" applyFill="1" applyBorder="1" applyAlignment="1">
      <alignment horizontal="center"/>
    </xf>
    <xf numFmtId="0" fontId="1" fillId="6" borderId="24" xfId="0" applyFont="1" applyFill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20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3" borderId="30" xfId="0" applyFill="1" applyBorder="1" applyAlignment="1">
      <alignment horizontal="center"/>
    </xf>
  </cellXfs>
  <cellStyles count="1">
    <cellStyle name="Normal" xfId="0" builtinId="0"/>
  </cellStyles>
  <dxfs count="51">
    <dxf>
      <font>
        <b/>
        <i val="0"/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ont>
        <b/>
        <i val="0"/>
        <color auto="1"/>
      </font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466725</xdr:colOff>
      <xdr:row>0</xdr:row>
      <xdr:rowOff>0</xdr:rowOff>
    </xdr:from>
    <xdr:to>
      <xdr:col>20</xdr:col>
      <xdr:colOff>720580</xdr:colOff>
      <xdr:row>52</xdr:row>
      <xdr:rowOff>152400</xdr:rowOff>
    </xdr:to>
    <xdr:pic>
      <xdr:nvPicPr>
        <xdr:cNvPr id="7" name="Image 6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48725" y="0"/>
          <a:ext cx="7111855" cy="10058400"/>
        </a:xfrm>
        <a:prstGeom prst="rect">
          <a:avLst/>
        </a:prstGeom>
      </xdr:spPr>
    </xdr:pic>
    <xdr:clientData/>
  </xdr:twoCellAnchor>
  <xdr:twoCellAnchor editAs="oneCell">
    <xdr:from>
      <xdr:col>20</xdr:col>
      <xdr:colOff>695325</xdr:colOff>
      <xdr:row>0</xdr:row>
      <xdr:rowOff>0</xdr:rowOff>
    </xdr:from>
    <xdr:to>
      <xdr:col>30</xdr:col>
      <xdr:colOff>187180</xdr:colOff>
      <xdr:row>52</xdr:row>
      <xdr:rowOff>152400</xdr:rowOff>
    </xdr:to>
    <xdr:pic>
      <xdr:nvPicPr>
        <xdr:cNvPr id="9" name="Image 8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935325" y="0"/>
          <a:ext cx="7111855" cy="10058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A102"/>
  <sheetViews>
    <sheetView tabSelected="1" workbookViewId="0">
      <selection activeCell="L24" sqref="L24"/>
    </sheetView>
  </sheetViews>
  <sheetFormatPr baseColWidth="10" defaultRowHeight="15" x14ac:dyDescent="0.25"/>
  <cols>
    <col min="2" max="2" width="9.28515625" customWidth="1"/>
    <col min="3" max="13" width="8.7109375" customWidth="1"/>
    <col min="14" max="14" width="10" customWidth="1"/>
    <col min="15" max="15" width="9.28515625" customWidth="1"/>
    <col min="16" max="21" width="8.7109375" customWidth="1"/>
    <col min="22" max="22" width="9.140625" customWidth="1"/>
    <col min="23" max="23" width="8.85546875" customWidth="1"/>
    <col min="24" max="24" width="9.28515625" customWidth="1"/>
    <col min="25" max="25" width="8.85546875" customWidth="1"/>
    <col min="26" max="26" width="10.7109375" customWidth="1"/>
  </cols>
  <sheetData>
    <row r="2" spans="2:5" ht="15.75" x14ac:dyDescent="0.25">
      <c r="B2" s="33" t="s">
        <v>2</v>
      </c>
    </row>
    <row r="3" spans="2:5" x14ac:dyDescent="0.25">
      <c r="B3" s="15"/>
    </row>
    <row r="4" spans="2:5" x14ac:dyDescent="0.25">
      <c r="B4" s="15" t="s">
        <v>83</v>
      </c>
    </row>
    <row r="5" spans="2:5" x14ac:dyDescent="0.25">
      <c r="B5" s="15" t="s">
        <v>3</v>
      </c>
    </row>
    <row r="6" spans="2:5" x14ac:dyDescent="0.25">
      <c r="B6" s="15"/>
    </row>
    <row r="7" spans="2:5" x14ac:dyDescent="0.25">
      <c r="B7" s="16" t="s">
        <v>4</v>
      </c>
    </row>
    <row r="8" spans="2:5" x14ac:dyDescent="0.25">
      <c r="B8" s="16" t="s">
        <v>51</v>
      </c>
    </row>
    <row r="9" spans="2:5" x14ac:dyDescent="0.25">
      <c r="B9" s="16" t="s">
        <v>5</v>
      </c>
    </row>
    <row r="10" spans="2:5" x14ac:dyDescent="0.25">
      <c r="B10" s="16" t="s">
        <v>85</v>
      </c>
    </row>
    <row r="11" spans="2:5" x14ac:dyDescent="0.25">
      <c r="B11" s="16" t="s">
        <v>6</v>
      </c>
    </row>
    <row r="12" spans="2:5" x14ac:dyDescent="0.25">
      <c r="B12" s="15"/>
    </row>
    <row r="13" spans="2:5" x14ac:dyDescent="0.25">
      <c r="B13" s="15"/>
      <c r="E13" s="22" t="s">
        <v>7</v>
      </c>
    </row>
    <row r="14" spans="2:5" x14ac:dyDescent="0.25">
      <c r="B14" s="15"/>
      <c r="E14" s="22" t="s">
        <v>8</v>
      </c>
    </row>
    <row r="15" spans="2:5" x14ac:dyDescent="0.25">
      <c r="B15" s="15"/>
    </row>
    <row r="16" spans="2:5" x14ac:dyDescent="0.25">
      <c r="B16" s="1" t="s">
        <v>49</v>
      </c>
    </row>
    <row r="17" spans="2:27" x14ac:dyDescent="0.25">
      <c r="B17" t="s">
        <v>1</v>
      </c>
    </row>
    <row r="18" spans="2:27" x14ac:dyDescent="0.25">
      <c r="B18" t="s">
        <v>84</v>
      </c>
    </row>
    <row r="19" spans="2:27" ht="15.75" thickBot="1" x14ac:dyDescent="0.3">
      <c r="B19" s="15"/>
    </row>
    <row r="20" spans="2:27" x14ac:dyDescent="0.25">
      <c r="B20" s="18" t="s">
        <v>9</v>
      </c>
      <c r="C20" s="7" t="s">
        <v>50</v>
      </c>
      <c r="D20" s="7"/>
      <c r="E20" s="7"/>
      <c r="F20" s="7"/>
      <c r="G20" s="7"/>
      <c r="H20" s="7"/>
      <c r="I20" s="7"/>
      <c r="J20" s="7"/>
      <c r="K20" s="7"/>
      <c r="L20" s="35"/>
    </row>
    <row r="21" spans="2:27" x14ac:dyDescent="0.25">
      <c r="B21" s="19" t="s">
        <v>10</v>
      </c>
      <c r="C21" s="17" t="s">
        <v>30</v>
      </c>
      <c r="D21" s="17"/>
      <c r="E21" s="17"/>
      <c r="F21" s="17"/>
      <c r="G21" s="17"/>
      <c r="H21" s="17"/>
      <c r="I21" s="17"/>
      <c r="J21" s="17"/>
      <c r="K21" s="17"/>
      <c r="L21" s="36"/>
      <c r="AA21" t="str">
        <f t="shared" ref="AA21:AA29" si="0">T(N21)</f>
        <v/>
      </c>
    </row>
    <row r="22" spans="2:27" x14ac:dyDescent="0.25">
      <c r="B22" s="19" t="s">
        <v>11</v>
      </c>
      <c r="C22" s="17" t="s">
        <v>31</v>
      </c>
      <c r="D22" s="17"/>
      <c r="E22" s="17"/>
      <c r="F22" s="17"/>
      <c r="G22" s="17"/>
      <c r="H22" s="17"/>
      <c r="I22" s="17"/>
      <c r="J22" s="17"/>
      <c r="K22" s="17"/>
      <c r="L22" s="36"/>
      <c r="AA22" t="str">
        <f t="shared" si="0"/>
        <v/>
      </c>
    </row>
    <row r="23" spans="2:27" x14ac:dyDescent="0.25">
      <c r="B23" s="19" t="s">
        <v>12</v>
      </c>
      <c r="C23" s="17" t="s">
        <v>32</v>
      </c>
      <c r="D23" s="17"/>
      <c r="E23" s="17"/>
      <c r="F23" s="17"/>
      <c r="G23" s="17"/>
      <c r="H23" s="17"/>
      <c r="I23" s="17"/>
      <c r="J23" s="17"/>
      <c r="K23" s="17"/>
      <c r="L23" s="36"/>
      <c r="AA23" t="str">
        <f t="shared" si="0"/>
        <v/>
      </c>
    </row>
    <row r="24" spans="2:27" x14ac:dyDescent="0.25">
      <c r="B24" s="19" t="s">
        <v>13</v>
      </c>
      <c r="C24" s="17" t="s">
        <v>36</v>
      </c>
      <c r="D24" s="17"/>
      <c r="E24" s="17"/>
      <c r="F24" s="17"/>
      <c r="G24" s="17"/>
      <c r="H24" s="17"/>
      <c r="I24" s="17"/>
      <c r="J24" s="17"/>
      <c r="K24" s="17"/>
      <c r="L24" s="36"/>
      <c r="AA24" t="str">
        <f t="shared" si="0"/>
        <v/>
      </c>
    </row>
    <row r="25" spans="2:27" x14ac:dyDescent="0.25">
      <c r="B25" s="19" t="s">
        <v>14</v>
      </c>
      <c r="C25" s="17" t="s">
        <v>33</v>
      </c>
      <c r="D25" s="17"/>
      <c r="E25" s="17"/>
      <c r="F25" s="17"/>
      <c r="G25" s="17"/>
      <c r="H25" s="17"/>
      <c r="I25" s="17"/>
      <c r="J25" s="17"/>
      <c r="K25" s="17"/>
      <c r="L25" s="36"/>
      <c r="AA25" t="str">
        <f t="shared" si="0"/>
        <v/>
      </c>
    </row>
    <row r="26" spans="2:27" x14ac:dyDescent="0.25">
      <c r="B26" s="19" t="s">
        <v>15</v>
      </c>
      <c r="C26" s="17" t="s">
        <v>34</v>
      </c>
      <c r="D26" s="17"/>
      <c r="E26" s="17"/>
      <c r="F26" s="17"/>
      <c r="G26" s="17"/>
      <c r="H26" s="17"/>
      <c r="I26" s="17"/>
      <c r="J26" s="17"/>
      <c r="K26" s="17"/>
      <c r="L26" s="36"/>
      <c r="AA26" t="str">
        <f t="shared" si="0"/>
        <v/>
      </c>
    </row>
    <row r="27" spans="2:27" x14ac:dyDescent="0.25">
      <c r="B27" s="19" t="s">
        <v>16</v>
      </c>
      <c r="C27" s="17" t="s">
        <v>35</v>
      </c>
      <c r="D27" s="17"/>
      <c r="E27" s="17"/>
      <c r="F27" s="17"/>
      <c r="G27" s="17"/>
      <c r="H27" s="17"/>
      <c r="I27" s="17"/>
      <c r="J27" s="17"/>
      <c r="K27" s="17"/>
      <c r="L27" s="36"/>
      <c r="AA27" t="str">
        <f t="shared" si="0"/>
        <v/>
      </c>
    </row>
    <row r="28" spans="2:27" x14ac:dyDescent="0.25">
      <c r="B28" s="19" t="s">
        <v>17</v>
      </c>
      <c r="C28" s="17" t="s">
        <v>37</v>
      </c>
      <c r="D28" s="17"/>
      <c r="E28" s="17"/>
      <c r="F28" s="17"/>
      <c r="G28" s="17"/>
      <c r="H28" s="17"/>
      <c r="I28" s="17"/>
      <c r="J28" s="17"/>
      <c r="K28" s="17"/>
      <c r="L28" s="36"/>
      <c r="AA28" t="str">
        <f t="shared" si="0"/>
        <v/>
      </c>
    </row>
    <row r="29" spans="2:27" x14ac:dyDescent="0.25">
      <c r="B29" s="19" t="s">
        <v>18</v>
      </c>
      <c r="C29" s="17" t="s">
        <v>38</v>
      </c>
      <c r="D29" s="17"/>
      <c r="E29" s="17"/>
      <c r="F29" s="17"/>
      <c r="G29" s="17"/>
      <c r="H29" s="17"/>
      <c r="I29" s="17"/>
      <c r="J29" s="17"/>
      <c r="K29" s="17"/>
      <c r="L29" s="36"/>
      <c r="AA29" t="str">
        <f t="shared" si="0"/>
        <v/>
      </c>
    </row>
    <row r="30" spans="2:27" x14ac:dyDescent="0.25">
      <c r="B30" s="19" t="s">
        <v>19</v>
      </c>
      <c r="C30" s="17" t="s">
        <v>39</v>
      </c>
      <c r="D30" s="17"/>
      <c r="E30" s="17"/>
      <c r="F30" s="17"/>
      <c r="G30" s="17"/>
      <c r="H30" s="17"/>
      <c r="I30" s="17"/>
      <c r="J30" s="17"/>
      <c r="K30" s="17"/>
      <c r="L30" s="36"/>
    </row>
    <row r="31" spans="2:27" x14ac:dyDescent="0.25">
      <c r="B31" s="19" t="s">
        <v>20</v>
      </c>
      <c r="C31" s="17" t="s">
        <v>44</v>
      </c>
      <c r="D31" s="17"/>
      <c r="E31" s="17"/>
      <c r="F31" s="17"/>
      <c r="G31" s="17"/>
      <c r="H31" s="17"/>
      <c r="I31" s="17"/>
      <c r="J31" s="17"/>
      <c r="K31" s="17"/>
      <c r="L31" s="36"/>
    </row>
    <row r="32" spans="2:27" x14ac:dyDescent="0.25">
      <c r="B32" s="19" t="s">
        <v>21</v>
      </c>
      <c r="C32" s="17" t="s">
        <v>45</v>
      </c>
      <c r="D32" s="17"/>
      <c r="E32" s="17"/>
      <c r="F32" s="17"/>
      <c r="G32" s="17"/>
      <c r="H32" s="17"/>
      <c r="I32" s="17"/>
      <c r="J32" s="17"/>
      <c r="K32" s="17"/>
      <c r="L32" s="36"/>
    </row>
    <row r="33" spans="2:13" x14ac:dyDescent="0.25">
      <c r="B33" s="19" t="s">
        <v>22</v>
      </c>
      <c r="C33" s="17" t="s">
        <v>40</v>
      </c>
      <c r="D33" s="17"/>
      <c r="E33" s="17"/>
      <c r="F33" s="17"/>
      <c r="G33" s="17"/>
      <c r="H33" s="17"/>
      <c r="I33" s="17"/>
      <c r="J33" s="17"/>
      <c r="K33" s="17"/>
      <c r="L33" s="36"/>
    </row>
    <row r="34" spans="2:13" x14ac:dyDescent="0.25">
      <c r="B34" s="19" t="s">
        <v>23</v>
      </c>
      <c r="C34" s="17" t="s">
        <v>41</v>
      </c>
      <c r="D34" s="17"/>
      <c r="E34" s="17"/>
      <c r="F34" s="17"/>
      <c r="G34" s="17"/>
      <c r="H34" s="17"/>
      <c r="I34" s="17"/>
      <c r="J34" s="17"/>
      <c r="K34" s="17"/>
      <c r="L34" s="36"/>
    </row>
    <row r="35" spans="2:13" x14ac:dyDescent="0.25">
      <c r="B35" s="19" t="s">
        <v>24</v>
      </c>
      <c r="C35" s="17" t="s">
        <v>42</v>
      </c>
      <c r="D35" s="17"/>
      <c r="E35" s="17"/>
      <c r="F35" s="17"/>
      <c r="G35" s="17"/>
      <c r="H35" s="17"/>
      <c r="I35" s="17"/>
      <c r="J35" s="17"/>
      <c r="K35" s="17"/>
      <c r="L35" s="36"/>
    </row>
    <row r="36" spans="2:13" x14ac:dyDescent="0.25">
      <c r="B36" s="19" t="s">
        <v>25</v>
      </c>
      <c r="C36" s="17" t="s">
        <v>43</v>
      </c>
      <c r="D36" s="17"/>
      <c r="E36" s="17"/>
      <c r="F36" s="17"/>
      <c r="G36" s="17"/>
      <c r="H36" s="17"/>
      <c r="I36" s="17"/>
      <c r="J36" s="17"/>
      <c r="K36" s="17"/>
      <c r="L36" s="36"/>
    </row>
    <row r="37" spans="2:13" x14ac:dyDescent="0.25">
      <c r="B37" s="19" t="s">
        <v>26</v>
      </c>
      <c r="C37" s="17" t="s">
        <v>46</v>
      </c>
      <c r="D37" s="17"/>
      <c r="E37" s="17"/>
      <c r="F37" s="17"/>
      <c r="G37" s="17"/>
      <c r="H37" s="17"/>
      <c r="I37" s="17"/>
      <c r="J37" s="17"/>
      <c r="K37" s="17"/>
      <c r="L37" s="36"/>
    </row>
    <row r="38" spans="2:13" x14ac:dyDescent="0.25">
      <c r="B38" s="19" t="s">
        <v>27</v>
      </c>
      <c r="C38" s="17" t="s">
        <v>47</v>
      </c>
      <c r="D38" s="17"/>
      <c r="E38" s="17"/>
      <c r="F38" s="17"/>
      <c r="G38" s="17"/>
      <c r="H38" s="17"/>
      <c r="I38" s="17"/>
      <c r="J38" s="17"/>
      <c r="K38" s="17"/>
      <c r="L38" s="36"/>
    </row>
    <row r="39" spans="2:13" ht="15.75" thickBot="1" x14ac:dyDescent="0.3">
      <c r="B39" s="20" t="s">
        <v>28</v>
      </c>
      <c r="C39" s="8" t="s">
        <v>48</v>
      </c>
      <c r="D39" s="8"/>
      <c r="E39" s="8"/>
      <c r="F39" s="8"/>
      <c r="G39" s="8"/>
      <c r="H39" s="8"/>
      <c r="I39" s="8"/>
      <c r="J39" s="8"/>
      <c r="K39" s="8"/>
      <c r="L39" s="37"/>
    </row>
    <row r="40" spans="2:13" x14ac:dyDescent="0.25">
      <c r="B40" s="15"/>
    </row>
    <row r="41" spans="2:13" hidden="1" x14ac:dyDescent="0.25">
      <c r="B41" s="15"/>
    </row>
    <row r="42" spans="2:13" hidden="1" x14ac:dyDescent="0.25">
      <c r="B42" t="s">
        <v>52</v>
      </c>
      <c r="C42" t="s">
        <v>53</v>
      </c>
      <c r="D42" t="s">
        <v>54</v>
      </c>
      <c r="E42" t="s">
        <v>55</v>
      </c>
      <c r="F42" t="s">
        <v>56</v>
      </c>
      <c r="G42" t="s">
        <v>57</v>
      </c>
      <c r="H42" t="s">
        <v>58</v>
      </c>
      <c r="I42" t="s">
        <v>59</v>
      </c>
      <c r="J42" t="s">
        <v>60</v>
      </c>
      <c r="K42" t="s">
        <v>61</v>
      </c>
      <c r="L42" t="s">
        <v>62</v>
      </c>
      <c r="M42" t="s">
        <v>63</v>
      </c>
    </row>
    <row r="43" spans="2:13" hidden="1" x14ac:dyDescent="0.25">
      <c r="B43" t="str">
        <f>IF($L20=1,_xlfn.UNICODE("A"),"")</f>
        <v/>
      </c>
      <c r="C43" t="str">
        <f>IF($L20=2,_xlfn.UNICODE("A"),"")</f>
        <v/>
      </c>
      <c r="D43" t="str">
        <f>IF($L20=3,_xlfn.UNICODE("A"),"")</f>
        <v/>
      </c>
      <c r="E43" t="str">
        <f>IF($L20=4,_xlfn.UNICODE("A"),"")</f>
        <v/>
      </c>
      <c r="F43" t="str">
        <f>IF($L20=5,_xlfn.UNICODE("A"),"")</f>
        <v/>
      </c>
      <c r="G43" t="str">
        <f>IF($L20=6,_xlfn.UNICODE("A"),"")</f>
        <v/>
      </c>
      <c r="H43" t="str">
        <f>IF($L20=15,_xlfn.UNICODE("A"),"")</f>
        <v/>
      </c>
      <c r="I43" t="str">
        <f>IF($L20=16,_xlfn.UNICODE("A"),"")</f>
        <v/>
      </c>
      <c r="J43" t="str">
        <f>IF($L20=17,_xlfn.UNICODE("A"),"")</f>
        <v/>
      </c>
      <c r="K43" t="str">
        <f>IF($L20=18,_xlfn.UNICODE("A"),"")</f>
        <v/>
      </c>
      <c r="L43" t="str">
        <f>IF($L20=19,_xlfn.UNICODE("A"),"")</f>
        <v/>
      </c>
      <c r="M43" t="str">
        <f>IF($L20=20,_xlfn.UNICODE("A"),"")</f>
        <v/>
      </c>
    </row>
    <row r="44" spans="2:13" hidden="1" x14ac:dyDescent="0.25">
      <c r="B44" t="str">
        <f>IF($L21=1,_xlfn.UNICODE("B"),"")</f>
        <v/>
      </c>
      <c r="C44" t="str">
        <f>IF($L21=2,_xlfn.UNICODE("B"),"")</f>
        <v/>
      </c>
      <c r="D44" t="str">
        <f>IF($L21=3,_xlfn.UNICODE("B"),"")</f>
        <v/>
      </c>
      <c r="E44" t="str">
        <f>IF($L21=4,_xlfn.UNICODE("B"),"")</f>
        <v/>
      </c>
      <c r="F44" t="str">
        <f>IF($L21=5,_xlfn.UNICODE("B"),"")</f>
        <v/>
      </c>
      <c r="G44" t="str">
        <f>IF($L21=6,_xlfn.UNICODE("B"),"")</f>
        <v/>
      </c>
      <c r="H44" t="str">
        <f>IF($L21=15,_xlfn.UNICODE("B"),"")</f>
        <v/>
      </c>
      <c r="I44" t="str">
        <f>IF($L21=16,_xlfn.UNICODE("B"),"")</f>
        <v/>
      </c>
      <c r="J44" t="str">
        <f>IF($L21=17,_xlfn.UNICODE("B"),"")</f>
        <v/>
      </c>
      <c r="K44" t="str">
        <f>IF($L21=18,_xlfn.UNICODE("B"),"")</f>
        <v/>
      </c>
      <c r="L44" t="str">
        <f>IF($L21=19,_xlfn.UNICODE("B"),"")</f>
        <v/>
      </c>
      <c r="M44" t="str">
        <f>IF($L21=20,_xlfn.UNICODE("B"),"")</f>
        <v/>
      </c>
    </row>
    <row r="45" spans="2:13" hidden="1" x14ac:dyDescent="0.25">
      <c r="B45" t="str">
        <f>IF($L22=1,_xlfn.UNICODE("C"),"")</f>
        <v/>
      </c>
      <c r="C45" t="str">
        <f>IF($L22=2,_xlfn.UNICODE("C"),"")</f>
        <v/>
      </c>
      <c r="D45" t="str">
        <f>IF($L22=3,_xlfn.UNICODE("C"),"")</f>
        <v/>
      </c>
      <c r="E45" t="str">
        <f>IF($L22=4,_xlfn.UNICODE("C"),"")</f>
        <v/>
      </c>
      <c r="F45" t="str">
        <f>IF($L22=5,_xlfn.UNICODE("C"),"")</f>
        <v/>
      </c>
      <c r="G45" t="str">
        <f>IF($L22=6,_xlfn.UNICODE("C"),"")</f>
        <v/>
      </c>
      <c r="H45" t="str">
        <f>IF($L22=15,_xlfn.UNICODE("C"),"")</f>
        <v/>
      </c>
      <c r="I45" t="str">
        <f>IF($L22=16,_xlfn.UNICODE("C"),"")</f>
        <v/>
      </c>
      <c r="J45" t="str">
        <f>IF($L22=17,_xlfn.UNICODE("C"),"")</f>
        <v/>
      </c>
      <c r="K45" t="str">
        <f>IF($L22=18,_xlfn.UNICODE("C"),"")</f>
        <v/>
      </c>
      <c r="L45" t="str">
        <f>IF($L22=19,_xlfn.UNICODE("C"),"")</f>
        <v/>
      </c>
      <c r="M45" t="str">
        <f>IF($L22=20,_xlfn.UNICODE("C"),"")</f>
        <v/>
      </c>
    </row>
    <row r="46" spans="2:13" hidden="1" x14ac:dyDescent="0.25">
      <c r="B46" t="str">
        <f>IF($L23=1,_xlfn.UNICODE("D"),"")</f>
        <v/>
      </c>
      <c r="C46" t="str">
        <f>IF($L23=2,_xlfn.UNICODE("D"),"")</f>
        <v/>
      </c>
      <c r="D46" t="str">
        <f>IF($L23=3,_xlfn.UNICODE("D"),"")</f>
        <v/>
      </c>
      <c r="E46" t="str">
        <f>IF($L23=4,_xlfn.UNICODE("D"),"")</f>
        <v/>
      </c>
      <c r="F46" t="str">
        <f>IF($L23=5,_xlfn.UNICODE("D"),"")</f>
        <v/>
      </c>
      <c r="G46" t="str">
        <f>IF($L23=6,_xlfn.UNICODE("D"),"")</f>
        <v/>
      </c>
      <c r="H46" t="str">
        <f>IF($L23=15,_xlfn.UNICODE("D"),"")</f>
        <v/>
      </c>
      <c r="I46" t="str">
        <f>IF($L23=16,_xlfn.UNICODE("D"),"")</f>
        <v/>
      </c>
      <c r="J46" t="str">
        <f>IF($L23=17,_xlfn.UNICODE("D"),"")</f>
        <v/>
      </c>
      <c r="K46" t="str">
        <f>IF($L23=18,_xlfn.UNICODE("D"),"")</f>
        <v/>
      </c>
      <c r="L46" t="str">
        <f>IF($L23=19,_xlfn.UNICODE("D"),"")</f>
        <v/>
      </c>
      <c r="M46" t="str">
        <f>IF($L23=20,_xlfn.UNICODE("D"),"")</f>
        <v/>
      </c>
    </row>
    <row r="47" spans="2:13" hidden="1" x14ac:dyDescent="0.25">
      <c r="B47" t="str">
        <f>IF($L24=1,_xlfn.UNICODE("E"),"")</f>
        <v/>
      </c>
      <c r="C47" t="str">
        <f>IF($L24=2,_xlfn.UNICODE("E"),"")</f>
        <v/>
      </c>
      <c r="D47" t="str">
        <f>IF($L24=3,_xlfn.UNICODE("E"),"")</f>
        <v/>
      </c>
      <c r="E47" t="str">
        <f>IF($L24=4,_xlfn.UNICODE("E"),"")</f>
        <v/>
      </c>
      <c r="F47" t="str">
        <f>IF($L24=5,_xlfn.UNICODE("E"),"")</f>
        <v/>
      </c>
      <c r="G47" t="str">
        <f>IF($L24=6,_xlfn.UNICODE("E"),"")</f>
        <v/>
      </c>
      <c r="H47" t="str">
        <f>IF($L24=15,_xlfn.UNICODE("E"),"")</f>
        <v/>
      </c>
      <c r="I47" t="str">
        <f>IF($L24=16,_xlfn.UNICODE("E"),"")</f>
        <v/>
      </c>
      <c r="J47" t="str">
        <f>IF($L24=17,_xlfn.UNICODE("E"),"")</f>
        <v/>
      </c>
      <c r="K47" t="str">
        <f>IF($L24=18,_xlfn.UNICODE("E"),"")</f>
        <v/>
      </c>
      <c r="L47" t="str">
        <f>IF($L24=19,_xlfn.UNICODE("E"),"")</f>
        <v/>
      </c>
      <c r="M47" t="str">
        <f>IF($L24=20,_xlfn.UNICODE("E"),"")</f>
        <v/>
      </c>
    </row>
    <row r="48" spans="2:13" hidden="1" x14ac:dyDescent="0.25">
      <c r="B48" t="str">
        <f>IF($L25=1,_xlfn.UNICODE("F"),"")</f>
        <v/>
      </c>
      <c r="C48" t="str">
        <f>IF($L25=2,_xlfn.UNICODE("F"),"")</f>
        <v/>
      </c>
      <c r="D48" t="str">
        <f>IF($L25=3,_xlfn.UNICODE("F"),"")</f>
        <v/>
      </c>
      <c r="E48" t="str">
        <f>IF($L25=4,_xlfn.UNICODE("F"),"")</f>
        <v/>
      </c>
      <c r="F48" t="str">
        <f>IF($L25=5,_xlfn.UNICODE("F"),"")</f>
        <v/>
      </c>
      <c r="G48" t="str">
        <f>IF($L25=6,_xlfn.UNICODE("F"),"")</f>
        <v/>
      </c>
      <c r="H48" t="str">
        <f>IF($L25=15,_xlfn.UNICODE("F"),"")</f>
        <v/>
      </c>
      <c r="I48" t="str">
        <f>IF($L25=16,_xlfn.UNICODE("F"),"")</f>
        <v/>
      </c>
      <c r="J48" t="str">
        <f>IF($L25=17,_xlfn.UNICODE("F"),"")</f>
        <v/>
      </c>
      <c r="K48" t="str">
        <f>IF($L25=18,_xlfn.UNICODE("F"),"")</f>
        <v/>
      </c>
      <c r="L48" t="str">
        <f>IF($L25=19,_xlfn.UNICODE("F"),"")</f>
        <v/>
      </c>
      <c r="M48" t="str">
        <f>IF($L25=20,_xlfn.UNICODE("F"),"")</f>
        <v/>
      </c>
    </row>
    <row r="49" spans="1:15" hidden="1" x14ac:dyDescent="0.25">
      <c r="B49" t="str">
        <f>IF($L26=1,_xlfn.UNICODE("G"),"")</f>
        <v/>
      </c>
      <c r="C49" t="str">
        <f>IF($L26=2,_xlfn.UNICODE("G"),"")</f>
        <v/>
      </c>
      <c r="D49" t="str">
        <f>IF($L26=3,_xlfn.UNICODE("G"),"")</f>
        <v/>
      </c>
      <c r="E49" t="str">
        <f>IF($L26=4,_xlfn.UNICODE("G"),"")</f>
        <v/>
      </c>
      <c r="F49" t="str">
        <f>IF($L26=5,_xlfn.UNICODE("G"),"")</f>
        <v/>
      </c>
      <c r="G49" t="str">
        <f>IF($L26=6,_xlfn.UNICODE("G"),"")</f>
        <v/>
      </c>
      <c r="H49" t="str">
        <f>IF($L26=15,_xlfn.UNICODE("G"),"")</f>
        <v/>
      </c>
      <c r="I49" t="str">
        <f>IF($L26=16,_xlfn.UNICODE("G"),"")</f>
        <v/>
      </c>
      <c r="J49" t="str">
        <f>IF($L26=17,_xlfn.UNICODE("G"),"")</f>
        <v/>
      </c>
      <c r="K49" t="str">
        <f>IF($L26=18,_xlfn.UNICODE("G"),"")</f>
        <v/>
      </c>
      <c r="L49" t="str">
        <f>IF($L26=19,_xlfn.UNICODE("G"),"")</f>
        <v/>
      </c>
      <c r="M49" t="str">
        <f>IF($L26=20,_xlfn.UNICODE("G"),"")</f>
        <v/>
      </c>
    </row>
    <row r="50" spans="1:15" hidden="1" x14ac:dyDescent="0.25">
      <c r="B50" t="str">
        <f>IF($L27=1,_xlfn.UNICODE("H"),"")</f>
        <v/>
      </c>
      <c r="C50" t="str">
        <f>IF($L27=2,_xlfn.UNICODE("H"),"")</f>
        <v/>
      </c>
      <c r="D50" t="str">
        <f>IF($L27=3,_xlfn.UNICODE("H"),"")</f>
        <v/>
      </c>
      <c r="E50" t="str">
        <f>IF($L27=4,_xlfn.UNICODE("H"),"")</f>
        <v/>
      </c>
      <c r="F50" t="str">
        <f>IF($L27=5,_xlfn.UNICODE("H"),"")</f>
        <v/>
      </c>
      <c r="G50" t="str">
        <f>IF($L27=6,_xlfn.UNICODE("H"),"")</f>
        <v/>
      </c>
      <c r="H50" t="str">
        <f>IF($L27=15,_xlfn.UNICODE("H"),"")</f>
        <v/>
      </c>
      <c r="I50" t="str">
        <f>IF($L27=16,_xlfn.UNICODE("H"),"")</f>
        <v/>
      </c>
      <c r="J50" t="str">
        <f>IF($L27=17,_xlfn.UNICODE("H"),"")</f>
        <v/>
      </c>
      <c r="K50" t="str">
        <f>IF($L27=18,_xlfn.UNICODE("H"),"")</f>
        <v/>
      </c>
      <c r="L50" t="str">
        <f>IF($L27=19,_xlfn.UNICODE("H"),"")</f>
        <v/>
      </c>
      <c r="M50" t="str">
        <f>IF($L27=20,_xlfn.UNICODE("H"),"")</f>
        <v/>
      </c>
    </row>
    <row r="51" spans="1:15" hidden="1" x14ac:dyDescent="0.25">
      <c r="B51" t="str">
        <f>IF($L28=1,_xlfn.UNICODE("I"),"")</f>
        <v/>
      </c>
      <c r="C51" t="str">
        <f>IF($L28=2,_xlfn.UNICODE("I"),"")</f>
        <v/>
      </c>
      <c r="D51" t="str">
        <f>IF($L28=3,_xlfn.UNICODE("I"),"")</f>
        <v/>
      </c>
      <c r="E51" t="str">
        <f>IF($L28=4,_xlfn.UNICODE("I"),"")</f>
        <v/>
      </c>
      <c r="F51" t="str">
        <f>IF($L28=5,_xlfn.UNICODE("I"),"")</f>
        <v/>
      </c>
      <c r="G51" t="str">
        <f>IF($L28=6,_xlfn.UNICODE("I"),"")</f>
        <v/>
      </c>
      <c r="H51" t="str">
        <f>IF($L28=15,_xlfn.UNICODE("I"),"")</f>
        <v/>
      </c>
      <c r="I51" t="str">
        <f>IF($L28=16,_xlfn.UNICODE("I"),"")</f>
        <v/>
      </c>
      <c r="J51" t="str">
        <f>IF($L28=17,_xlfn.UNICODE("I"),"")</f>
        <v/>
      </c>
      <c r="K51" t="str">
        <f>IF($L28=18,_xlfn.UNICODE("I"),"")</f>
        <v/>
      </c>
      <c r="L51" t="str">
        <f>IF($L28=19,_xlfn.UNICODE("I"),"")</f>
        <v/>
      </c>
      <c r="M51" t="str">
        <f>IF($L28=20,_xlfn.UNICODE("I"),"")</f>
        <v/>
      </c>
    </row>
    <row r="52" spans="1:15" hidden="1" x14ac:dyDescent="0.25">
      <c r="B52" t="str">
        <f>IF($L29=1,_xlfn.UNICODE("J"),"")</f>
        <v/>
      </c>
      <c r="C52" t="str">
        <f>IF($L29=2,_xlfn.UNICODE("J"),"")</f>
        <v/>
      </c>
      <c r="D52" t="str">
        <f>IF($L29=3,_xlfn.UNICODE("J"),"")</f>
        <v/>
      </c>
      <c r="E52" t="str">
        <f>IF($L29=4,_xlfn.UNICODE("J"),"")</f>
        <v/>
      </c>
      <c r="F52" t="str">
        <f>IF($L29=5,_xlfn.UNICODE("J"),"")</f>
        <v/>
      </c>
      <c r="G52" t="str">
        <f>IF($L29=6,_xlfn.UNICODE("J"),"")</f>
        <v/>
      </c>
      <c r="H52" t="str">
        <f>IF($L29=15,_xlfn.UNICODE("J"),"")</f>
        <v/>
      </c>
      <c r="I52" t="str">
        <f>IF($L29=16,_xlfn.UNICODE("J"),"")</f>
        <v/>
      </c>
      <c r="J52" t="str">
        <f>IF($L29=17,_xlfn.UNICODE("J"),"")</f>
        <v/>
      </c>
      <c r="K52" t="str">
        <f>IF($L29=18,_xlfn.UNICODE("J"),"")</f>
        <v/>
      </c>
      <c r="L52" t="str">
        <f>IF($L29=19,_xlfn.UNICODE("J"),"")</f>
        <v/>
      </c>
      <c r="M52" t="str">
        <f>IF($L29=20,_xlfn.UNICODE("J"),"")</f>
        <v/>
      </c>
    </row>
    <row r="53" spans="1:15" hidden="1" x14ac:dyDescent="0.25">
      <c r="B53" t="str">
        <f>IF($L30=1,_xlfn.UNICODE("K"),"")</f>
        <v/>
      </c>
      <c r="C53" t="str">
        <f>IF($L30=2,_xlfn.UNICODE("K"),"")</f>
        <v/>
      </c>
      <c r="D53" t="str">
        <f>IF($L30=3,_xlfn.UNICODE("K"),"")</f>
        <v/>
      </c>
      <c r="E53" t="str">
        <f>IF($L30=4,_xlfn.UNICODE("K"),"")</f>
        <v/>
      </c>
      <c r="F53" t="str">
        <f>IF($L30=5,_xlfn.UNICODE("K"),"")</f>
        <v/>
      </c>
      <c r="G53" t="str">
        <f>IF($L30=6,_xlfn.UNICODE("K"),"")</f>
        <v/>
      </c>
      <c r="H53" t="str">
        <f>IF($L30=15,_xlfn.UNICODE("K"),"")</f>
        <v/>
      </c>
      <c r="I53" t="str">
        <f>IF($L30=16,_xlfn.UNICODE("K"),"")</f>
        <v/>
      </c>
      <c r="J53" t="str">
        <f>IF($L30=17,_xlfn.UNICODE("K"),"")</f>
        <v/>
      </c>
      <c r="K53" t="str">
        <f>IF($L30=18,_xlfn.UNICODE("K"),"")</f>
        <v/>
      </c>
      <c r="L53" t="str">
        <f>IF($L30=19,_xlfn.UNICODE("K"),"")</f>
        <v/>
      </c>
      <c r="M53" t="str">
        <f>IF($L30=20,_xlfn.UNICODE("K"),"")</f>
        <v/>
      </c>
    </row>
    <row r="54" spans="1:15" hidden="1" x14ac:dyDescent="0.25">
      <c r="B54" t="str">
        <f>IF($L31=1,_xlfn.UNICODE("L"),"")</f>
        <v/>
      </c>
      <c r="C54" t="str">
        <f>IF($L31=2,_xlfn.UNICODE("L"),"")</f>
        <v/>
      </c>
      <c r="D54" t="str">
        <f>IF($L31=3,_xlfn.UNICODE("L"),"")</f>
        <v/>
      </c>
      <c r="E54" t="str">
        <f>IF($L31=4,_xlfn.UNICODE("L"),"")</f>
        <v/>
      </c>
      <c r="F54" t="str">
        <f>IF($L31=5,_xlfn.UNICODE("L"),"")</f>
        <v/>
      </c>
      <c r="G54" t="str">
        <f>IF($L31=6,_xlfn.UNICODE("L"),"")</f>
        <v/>
      </c>
      <c r="H54" t="str">
        <f>IF($L31=15,_xlfn.UNICODE("L"),"")</f>
        <v/>
      </c>
      <c r="I54" t="str">
        <f>IF($L31=16,_xlfn.UNICODE("L"),"")</f>
        <v/>
      </c>
      <c r="J54" t="str">
        <f>IF($L31=17,_xlfn.UNICODE("L"),"")</f>
        <v/>
      </c>
      <c r="K54" t="str">
        <f>IF($L31=18,_xlfn.UNICODE("L"),"")</f>
        <v/>
      </c>
      <c r="L54" t="str">
        <f>IF($L31=19,_xlfn.UNICODE("L"),"")</f>
        <v/>
      </c>
      <c r="M54" t="str">
        <f>IF($L31=20,_xlfn.UNICODE("L"),"")</f>
        <v/>
      </c>
    </row>
    <row r="55" spans="1:15" hidden="1" x14ac:dyDescent="0.25">
      <c r="B55" t="str">
        <f>IF($L32=1,_xlfn.UNICODE("M"),"")</f>
        <v/>
      </c>
      <c r="C55" t="str">
        <f>IF($L32=2,_xlfn.UNICODE("M"),"")</f>
        <v/>
      </c>
      <c r="D55" t="str">
        <f>IF($L32=3,_xlfn.UNICODE("M"),"")</f>
        <v/>
      </c>
      <c r="E55" t="str">
        <f>IF($L32=4,_xlfn.UNICODE("M"),"")</f>
        <v/>
      </c>
      <c r="F55" t="str">
        <f>IF($L32=5,_xlfn.UNICODE("M"),"")</f>
        <v/>
      </c>
      <c r="G55" t="str">
        <f>IF($L32=6,_xlfn.UNICODE("M"),"")</f>
        <v/>
      </c>
      <c r="H55" t="str">
        <f>IF($L32=15,_xlfn.UNICODE("M"),"")</f>
        <v/>
      </c>
      <c r="I55" t="str">
        <f>IF($L32=16,_xlfn.UNICODE("M"),"")</f>
        <v/>
      </c>
      <c r="J55" t="str">
        <f>IF($L32=17,_xlfn.UNICODE("M"),"")</f>
        <v/>
      </c>
      <c r="K55" t="str">
        <f>IF($L32=18,_xlfn.UNICODE("M"),"")</f>
        <v/>
      </c>
      <c r="L55" t="str">
        <f>IF($L32=19,_xlfn.UNICODE("M"),"")</f>
        <v/>
      </c>
      <c r="M55" t="str">
        <f>IF($L32=20,_xlfn.UNICODE("M"),"")</f>
        <v/>
      </c>
    </row>
    <row r="56" spans="1:15" hidden="1" x14ac:dyDescent="0.25">
      <c r="B56" t="str">
        <f>IF($L33=1,_xlfn.UNICODE("N"),"")</f>
        <v/>
      </c>
      <c r="C56" t="str">
        <f>IF($L33=2,_xlfn.UNICODE("N"),"")</f>
        <v/>
      </c>
      <c r="D56" t="str">
        <f>IF($L33=3,_xlfn.UNICODE("N"),"")</f>
        <v/>
      </c>
      <c r="E56" t="str">
        <f>IF($L33=4,_xlfn.UNICODE("N"),"")</f>
        <v/>
      </c>
      <c r="F56" t="str">
        <f>IF($L33=5,_xlfn.UNICODE("N"),"")</f>
        <v/>
      </c>
      <c r="G56" t="str">
        <f>IF($L33=6,_xlfn.UNICODE("N"),"")</f>
        <v/>
      </c>
      <c r="H56" t="str">
        <f>IF($L33=15,_xlfn.UNICODE("N"),"")</f>
        <v/>
      </c>
      <c r="I56" t="str">
        <f>IF($L33=16,_xlfn.UNICODE("N"),"")</f>
        <v/>
      </c>
      <c r="J56" t="str">
        <f>IF($L33=17,_xlfn.UNICODE("N"),"")</f>
        <v/>
      </c>
      <c r="K56" t="str">
        <f>IF($L33=18,_xlfn.UNICODE("N"),"")</f>
        <v/>
      </c>
      <c r="L56" t="str">
        <f>IF($L33=19,_xlfn.UNICODE("N"),"")</f>
        <v/>
      </c>
      <c r="M56" t="str">
        <f>IF($L33=20,_xlfn.UNICODE("N"),"")</f>
        <v/>
      </c>
    </row>
    <row r="57" spans="1:15" hidden="1" x14ac:dyDescent="0.25">
      <c r="B57" t="str">
        <f>IF($L34=1,_xlfn.UNICODE("O"),"")</f>
        <v/>
      </c>
      <c r="C57" t="str">
        <f>IF($L34=2,_xlfn.UNICODE("O"),"")</f>
        <v/>
      </c>
      <c r="D57" t="str">
        <f>IF($L34=3,_xlfn.UNICODE("O"),"")</f>
        <v/>
      </c>
      <c r="E57" t="str">
        <f>IF($L34=4,_xlfn.UNICODE("O"),"")</f>
        <v/>
      </c>
      <c r="F57" t="str">
        <f>IF($L34=5,_xlfn.UNICODE("O"),"")</f>
        <v/>
      </c>
      <c r="G57" t="str">
        <f>IF($L34=6,_xlfn.UNICODE("O"),"")</f>
        <v/>
      </c>
      <c r="H57" t="str">
        <f>IF($L34=15,_xlfn.UNICODE("O"),"")</f>
        <v/>
      </c>
      <c r="I57" t="str">
        <f>IF($L34=16,_xlfn.UNICODE("O"),"")</f>
        <v/>
      </c>
      <c r="J57" t="str">
        <f>IF($L34=17,_xlfn.UNICODE("O"),"")</f>
        <v/>
      </c>
      <c r="K57" t="str">
        <f>IF($L34=18,_xlfn.UNICODE("O"),"")</f>
        <v/>
      </c>
      <c r="L57" t="str">
        <f>IF($L34=19,_xlfn.UNICODE("O"),"")</f>
        <v/>
      </c>
      <c r="M57" t="str">
        <f>IF($L34=20,_xlfn.UNICODE("O"),"")</f>
        <v/>
      </c>
    </row>
    <row r="58" spans="1:15" hidden="1" x14ac:dyDescent="0.25">
      <c r="B58" t="str">
        <f>IF($L35=1,_xlfn.UNICODE("P"),"")</f>
        <v/>
      </c>
      <c r="C58" t="str">
        <f>IF($L35=2,_xlfn.UNICODE("P"),"")</f>
        <v/>
      </c>
      <c r="D58" t="str">
        <f>IF($L35=3,_xlfn.UNICODE("P"),"")</f>
        <v/>
      </c>
      <c r="E58" t="str">
        <f>IF($L35=4,_xlfn.UNICODE("P"),"")</f>
        <v/>
      </c>
      <c r="F58" t="str">
        <f>IF($L35=5,_xlfn.UNICODE("P"),"")</f>
        <v/>
      </c>
      <c r="G58" t="str">
        <f>IF($L35=6,_xlfn.UNICODE("P"),"")</f>
        <v/>
      </c>
      <c r="H58" t="str">
        <f>IF($L35=15,_xlfn.UNICODE("P"),"")</f>
        <v/>
      </c>
      <c r="I58" t="str">
        <f>IF($L35=16,_xlfn.UNICODE("P"),"")</f>
        <v/>
      </c>
      <c r="J58" t="str">
        <f>IF($L35=17,_xlfn.UNICODE("P"),"")</f>
        <v/>
      </c>
      <c r="K58" t="str">
        <f>IF($L35=18,_xlfn.UNICODE("P"),"")</f>
        <v/>
      </c>
      <c r="L58" t="str">
        <f>IF($L35=19,_xlfn.UNICODE("P"),"")</f>
        <v/>
      </c>
      <c r="M58" t="str">
        <f>IF($L35=20,_xlfn.UNICODE("P"),"")</f>
        <v/>
      </c>
    </row>
    <row r="59" spans="1:15" hidden="1" x14ac:dyDescent="0.25">
      <c r="B59" t="str">
        <f>IF($L36=1,_xlfn.UNICODE("Q"),"")</f>
        <v/>
      </c>
      <c r="C59" t="str">
        <f>IF($L36=2,_xlfn.UNICODE("Q"),"")</f>
        <v/>
      </c>
      <c r="D59" t="str">
        <f>IF($L36=3,_xlfn.UNICODE("Q"),"")</f>
        <v/>
      </c>
      <c r="E59" t="str">
        <f>IF($L36=4,_xlfn.UNICODE("Q"),"")</f>
        <v/>
      </c>
      <c r="F59" t="str">
        <f>IF($L36=5,_xlfn.UNICODE("Q"),"")</f>
        <v/>
      </c>
      <c r="G59" t="str">
        <f>IF($L36=6,_xlfn.UNICODE("Q"),"")</f>
        <v/>
      </c>
      <c r="H59" t="str">
        <f>IF($L36=15,_xlfn.UNICODE("Q"),"")</f>
        <v/>
      </c>
      <c r="I59" t="str">
        <f>IF($L36=16,_xlfn.UNICODE("Q"),"")</f>
        <v/>
      </c>
      <c r="J59" t="str">
        <f>IF($L36=17,_xlfn.UNICODE("Q"),"")</f>
        <v/>
      </c>
      <c r="K59" t="str">
        <f>IF($L36=18,_xlfn.UNICODE("Q"),"")</f>
        <v/>
      </c>
      <c r="L59" t="str">
        <f>IF($L36=19,_xlfn.UNICODE("Q"),"")</f>
        <v/>
      </c>
      <c r="M59" t="str">
        <f>IF($L36=20,_xlfn.UNICODE("Q"),"")</f>
        <v/>
      </c>
    </row>
    <row r="60" spans="1:15" hidden="1" x14ac:dyDescent="0.25">
      <c r="B60" t="str">
        <f>IF($L37=1,_xlfn.UNICODE("R"),"")</f>
        <v/>
      </c>
      <c r="C60" t="str">
        <f>IF($L37=2,_xlfn.UNICODE("R"),"")</f>
        <v/>
      </c>
      <c r="D60" t="str">
        <f>IF($L37=3,_xlfn.UNICODE("R"),"")</f>
        <v/>
      </c>
      <c r="E60" t="str">
        <f>IF($L37=4,_xlfn.UNICODE("R"),"")</f>
        <v/>
      </c>
      <c r="F60" t="str">
        <f>IF($L37=5,_xlfn.UNICODE("R"),"")</f>
        <v/>
      </c>
      <c r="G60" t="str">
        <f>IF($L37=6,_xlfn.UNICODE("R"),"")</f>
        <v/>
      </c>
      <c r="H60" t="str">
        <f>IF($L37=15,_xlfn.UNICODE("R"),"")</f>
        <v/>
      </c>
      <c r="I60" t="str">
        <f>IF($L37=16,_xlfn.UNICODE("R"),"")</f>
        <v/>
      </c>
      <c r="J60" t="str">
        <f>IF($L37=17,_xlfn.UNICODE("R"),"")</f>
        <v/>
      </c>
      <c r="K60" t="str">
        <f>IF($L37=18,_xlfn.UNICODE("R"),"")</f>
        <v/>
      </c>
      <c r="L60" t="str">
        <f>IF($L37=19,_xlfn.UNICODE("R"),"")</f>
        <v/>
      </c>
      <c r="M60" t="str">
        <f>IF($L37=20,_xlfn.UNICODE("R"),"")</f>
        <v/>
      </c>
    </row>
    <row r="61" spans="1:15" hidden="1" x14ac:dyDescent="0.25">
      <c r="B61" t="str">
        <f>IF($L38=1,_xlfn.UNICODE("S"),"")</f>
        <v/>
      </c>
      <c r="C61" t="str">
        <f>IF($L38=2,_xlfn.UNICODE("S"),"")</f>
        <v/>
      </c>
      <c r="D61" t="str">
        <f>IF($L38=3,_xlfn.UNICODE("S"),"")</f>
        <v/>
      </c>
      <c r="E61" t="str">
        <f>IF($L38=4,_xlfn.UNICODE("S"),"")</f>
        <v/>
      </c>
      <c r="F61" t="str">
        <f>IF($L38=5,_xlfn.UNICODE("S"),"")</f>
        <v/>
      </c>
      <c r="G61" t="str">
        <f>IF($L38=6,_xlfn.UNICODE("S"),"")</f>
        <v/>
      </c>
      <c r="H61" t="str">
        <f>IF($L38=15,_xlfn.UNICODE("S"),"")</f>
        <v/>
      </c>
      <c r="I61" t="str">
        <f>IF($L38=16,_xlfn.UNICODE("S"),"")</f>
        <v/>
      </c>
      <c r="J61" t="str">
        <f>IF($L38=17,_xlfn.UNICODE("S"),"")</f>
        <v/>
      </c>
      <c r="K61" t="str">
        <f>IF($L38=18,_xlfn.UNICODE("S"),"")</f>
        <v/>
      </c>
      <c r="L61" t="str">
        <f>IF($L38=19,_xlfn.UNICODE("S"),"")</f>
        <v/>
      </c>
      <c r="M61" t="str">
        <f>IF($L38=20,_xlfn.UNICODE("S"),"")</f>
        <v/>
      </c>
    </row>
    <row r="62" spans="1:15" hidden="1" x14ac:dyDescent="0.25">
      <c r="B62" t="str">
        <f>IF($L39=1,_xlfn.UNICODE("T"),"")</f>
        <v/>
      </c>
      <c r="C62" t="str">
        <f>IF($L39=2,_xlfn.UNICODE("T"),"")</f>
        <v/>
      </c>
      <c r="D62" t="str">
        <f>IF($L39=3,_xlfn.UNICODE("T"),"")</f>
        <v/>
      </c>
      <c r="E62" t="str">
        <f>IF($L39=4,_xlfn.UNICODE("T"),"")</f>
        <v/>
      </c>
      <c r="F62" t="str">
        <f>IF($L39=5,_xlfn.UNICODE("T"),"")</f>
        <v/>
      </c>
      <c r="G62" t="str">
        <f>IF($L39=6,_xlfn.UNICODE("T"),"")</f>
        <v/>
      </c>
      <c r="H62" t="str">
        <f>IF($L39=15,_xlfn.UNICODE("T"),"")</f>
        <v/>
      </c>
      <c r="I62" t="str">
        <f>IF($L39=16,_xlfn.UNICODE("T"),"")</f>
        <v/>
      </c>
      <c r="J62" t="str">
        <f>IF($L39=17,_xlfn.UNICODE("T"),"")</f>
        <v/>
      </c>
      <c r="K62" t="str">
        <f>IF($L39=18,_xlfn.UNICODE("T"),"")</f>
        <v/>
      </c>
      <c r="L62" t="str">
        <f>IF($L39=19,_xlfn.UNICODE("T"),"")</f>
        <v/>
      </c>
      <c r="M62" t="str">
        <f>IF($L39=20,_xlfn.UNICODE("T"),"")</f>
        <v/>
      </c>
    </row>
    <row r="63" spans="1:15" hidden="1" x14ac:dyDescent="0.25">
      <c r="B63" t="e">
        <f>_xlfn.UNICHAR(SUM(B43:B62))</f>
        <v>#VALUE!</v>
      </c>
      <c r="C63" t="e">
        <f>_xlfn.UNICHAR(SUM(C43:C62))</f>
        <v>#VALUE!</v>
      </c>
      <c r="D63" t="e">
        <f>_xlfn.UNICHAR(SUM(D43:D62))</f>
        <v>#VALUE!</v>
      </c>
      <c r="E63" t="e">
        <f t="shared" ref="E63:M63" si="1">_xlfn.UNICHAR(SUM(E44:E62))</f>
        <v>#VALUE!</v>
      </c>
      <c r="F63" t="e">
        <f t="shared" si="1"/>
        <v>#VALUE!</v>
      </c>
      <c r="G63" t="e">
        <f t="shared" si="1"/>
        <v>#VALUE!</v>
      </c>
      <c r="H63" t="e">
        <f t="shared" si="1"/>
        <v>#VALUE!</v>
      </c>
      <c r="I63" t="e">
        <f t="shared" si="1"/>
        <v>#VALUE!</v>
      </c>
      <c r="J63" t="e">
        <f t="shared" si="1"/>
        <v>#VALUE!</v>
      </c>
      <c r="K63" t="e">
        <f t="shared" si="1"/>
        <v>#VALUE!</v>
      </c>
      <c r="L63" t="e">
        <f t="shared" si="1"/>
        <v>#VALUE!</v>
      </c>
      <c r="M63" t="e">
        <f t="shared" si="1"/>
        <v>#VALUE!</v>
      </c>
    </row>
    <row r="64" spans="1:15" hidden="1" x14ac:dyDescent="0.25">
      <c r="A64" t="s">
        <v>70</v>
      </c>
      <c r="B64" s="15" t="e">
        <f>IF(OR(B$63="F",B$63="K",B$63="N",B$63="T"),3,)</f>
        <v>#VALUE!</v>
      </c>
      <c r="C64" s="15" t="e">
        <f>IF(OR(C$63="F",C$63="K",C$63="N",C$63="T"),2,)</f>
        <v>#VALUE!</v>
      </c>
      <c r="D64" s="15" t="e">
        <f>IF(OR(D$63="F",D$63="K",D$63="N",D$63="T"),2,)</f>
        <v>#VALUE!</v>
      </c>
      <c r="E64" s="15" t="e">
        <f>IF(OR(E$63="F",E$63="K",E$63="N",E$63="T"),1,)</f>
        <v>#VALUE!</v>
      </c>
      <c r="F64" s="15" t="e">
        <f>IF(OR(F$63="F",F$63="K",F$63="N",F$63="T"),1,)</f>
        <v>#VALUE!</v>
      </c>
      <c r="G64" s="15" t="e">
        <f>IF(OR(G$63="F",G$63="K",G$63="N",G$63="T"),1,)</f>
        <v>#VALUE!</v>
      </c>
      <c r="H64" s="15" t="e">
        <f>IF(OR(H$63="F",H$63="K",H$63="N",H$63="T"),-1,)</f>
        <v>#VALUE!</v>
      </c>
      <c r="I64" s="15" t="e">
        <f>IF(OR(I$63="F",I$63="K",I$63="N",I$63="T"),-1,)</f>
        <v>#VALUE!</v>
      </c>
      <c r="J64" s="15" t="e">
        <f>IF(OR(J$63="F",J$63="K",J$63="N",J$63="T"),-1,)</f>
        <v>#VALUE!</v>
      </c>
      <c r="K64" s="15" t="e">
        <f>IF(OR(K$63="F",K$63="K",K$63="N",K$63="T"),-2,)</f>
        <v>#VALUE!</v>
      </c>
      <c r="L64" s="15" t="e">
        <f>IF(OR(L$63="F",L$63="K",L$63="N",L$63="T"),-2,)</f>
        <v>#VALUE!</v>
      </c>
      <c r="M64" s="15" t="e">
        <f>IF(OR(M$63="F",M$63="K",M$63="N",M$63="T"),-3,)</f>
        <v>#VALUE!</v>
      </c>
      <c r="N64" t="e">
        <f>SUM(B64:M64)</f>
        <v>#VALUE!</v>
      </c>
      <c r="O64" t="str">
        <f>IF(ISERROR(N64),"-",N64)</f>
        <v>-</v>
      </c>
    </row>
    <row r="65" spans="1:21" hidden="1" x14ac:dyDescent="0.25">
      <c r="A65" t="s">
        <v>71</v>
      </c>
      <c r="B65" s="15" t="e">
        <f>IF(OR(B$63="B",B$63="G",B$63="O",B$63="S"),3,)</f>
        <v>#VALUE!</v>
      </c>
      <c r="C65" s="15" t="e">
        <f>IF(OR(C$63="B",C$63="G",C$63="O",C$63="S"),2,)</f>
        <v>#VALUE!</v>
      </c>
      <c r="D65" s="15" t="e">
        <f>IF(OR(D$63="B",D$63="G",D$63="O",D$63="S"),2,)</f>
        <v>#VALUE!</v>
      </c>
      <c r="E65" s="15" t="e">
        <f>IF(OR(E$63="B",E$63="G",E$63="O",E$63="S"),1,)</f>
        <v>#VALUE!</v>
      </c>
      <c r="F65" s="15" t="e">
        <f>IF(OR(F$63="B",F$63="G",F$63="O",F$63="S"),1,)</f>
        <v>#VALUE!</v>
      </c>
      <c r="G65" s="15" t="e">
        <f>IF(OR(G$63="B",G$63="G",G$63="O",G$63="S"),1,)</f>
        <v>#VALUE!</v>
      </c>
      <c r="H65" s="15" t="e">
        <f>IF(OR(H$63="B",H$63="G",H$63="O",H$63="S"),-1,)</f>
        <v>#VALUE!</v>
      </c>
      <c r="I65" s="15" t="e">
        <f>IF(OR(I$63="B",I$63="G",I$63="O",I$63="S"),-1,)</f>
        <v>#VALUE!</v>
      </c>
      <c r="J65" s="15" t="e">
        <f>IF(OR(J$63="B",J$63="G",J$63="O",J$63="S"),-1,)</f>
        <v>#VALUE!</v>
      </c>
      <c r="K65" s="15" t="e">
        <f>IF(OR(K$63="B",K$63="G",K$63="O",K$63="S"),-2,)</f>
        <v>#VALUE!</v>
      </c>
      <c r="L65" s="15" t="e">
        <f>IF(OR(L$63="B",L$63="G",L$63="O",L$63="S"),-2,)</f>
        <v>#VALUE!</v>
      </c>
      <c r="M65" s="15" t="e">
        <f>IF(OR(M$63="B",M$63="G",M$63="O",M$63="S"),-3,)</f>
        <v>#VALUE!</v>
      </c>
      <c r="N65" t="e">
        <f>SUM(B65:M65)</f>
        <v>#VALUE!</v>
      </c>
      <c r="O65" t="str">
        <f t="shared" ref="O65:O68" si="2">IF(ISERROR(N65),"-",N65)</f>
        <v>-</v>
      </c>
    </row>
    <row r="66" spans="1:21" hidden="1" x14ac:dyDescent="0.25">
      <c r="A66" t="s">
        <v>72</v>
      </c>
      <c r="B66" s="15" t="e">
        <f>IF(OR(B$63="A",B$63="D",B$63="L",B$63="M",B$63="Q",B$63="R"),3,)</f>
        <v>#VALUE!</v>
      </c>
      <c r="C66" s="15" t="e">
        <f>IF(OR(C$63="A",C$63="D",C$63="L",C$63="M",C$63="Q",C$63="R"),2,)</f>
        <v>#VALUE!</v>
      </c>
      <c r="D66" s="15" t="e">
        <f>IF(OR(D$63="A",D$63="D",D$63="L",D$63="M",D$63="Q",D$63="R"),2,)</f>
        <v>#VALUE!</v>
      </c>
      <c r="E66" s="15" t="e">
        <f>IF(OR(E$63="A",E$63="D",E$63="L",E$63="M",E$63="Q",E$63="R"),1,)</f>
        <v>#VALUE!</v>
      </c>
      <c r="F66" s="15" t="e">
        <f>IF(OR(F$63="A",F$63="D",F$63="L",F$63="M",F$63="Q",F$63="R"),1,)</f>
        <v>#VALUE!</v>
      </c>
      <c r="G66" s="15" t="e">
        <f>IF(OR(G$63="A",G$63="D",G$63="L",G$63="M",G$63="Q",G$63="R"),1,)</f>
        <v>#VALUE!</v>
      </c>
      <c r="H66" s="15" t="e">
        <f>IF(OR(H$63="A",H$63="D",H$63="L",H$63="M",H$63="Q",H$63="R"),-1,)</f>
        <v>#VALUE!</v>
      </c>
      <c r="I66" s="15" t="e">
        <f>IF(OR(I$63="A",I$63="D",I$63="L",I$63="M",I$63="Q",I$63="R"),-1,)</f>
        <v>#VALUE!</v>
      </c>
      <c r="J66" s="15" t="e">
        <f>IF(OR(J$63="A",J$63="D",J$63="L",J$63="M",J$63="Q",J$63="R"),-1,)</f>
        <v>#VALUE!</v>
      </c>
      <c r="K66" s="15" t="e">
        <f>IF(OR(K$63="A",K$63="D",K$63="L",K$63="M",K$63="Q",K$63="R"),-2,)</f>
        <v>#VALUE!</v>
      </c>
      <c r="L66" s="15" t="e">
        <f>IF(OR(L$63="A",L$63="D",L$63="L",L$63="M",L$63="Q",L$63="R"),-2,)</f>
        <v>#VALUE!</v>
      </c>
      <c r="M66" s="15" t="e">
        <f>IF(OR(M$63="A",M$63="D",M$63="L",M$63="M",M$63="Q",M$63="R"),-3,)</f>
        <v>#VALUE!</v>
      </c>
      <c r="N66" t="e">
        <f>SUM(B66:M66)</f>
        <v>#VALUE!</v>
      </c>
      <c r="O66" t="str">
        <f t="shared" si="2"/>
        <v>-</v>
      </c>
    </row>
    <row r="67" spans="1:21" hidden="1" x14ac:dyDescent="0.25">
      <c r="A67" t="s">
        <v>73</v>
      </c>
      <c r="B67" s="15" t="e">
        <f>IF(OR(B$63="C",B$63="E",B$63="J"),3,)</f>
        <v>#VALUE!</v>
      </c>
      <c r="C67" s="15" t="e">
        <f>IF(OR(C$63="C",C$63="E",C$63="J"),2,)</f>
        <v>#VALUE!</v>
      </c>
      <c r="D67" s="15" t="e">
        <f>IF(OR(D$63="C",D$63="E",D$63="J"),2,)</f>
        <v>#VALUE!</v>
      </c>
      <c r="E67" s="15" t="e">
        <f>IF(OR(E$63="C",E$63="E",E$63="J"),1,)</f>
        <v>#VALUE!</v>
      </c>
      <c r="F67" s="15" t="e">
        <f>IF(OR(F$63="C",F$63="E",F$63="J"),1,)</f>
        <v>#VALUE!</v>
      </c>
      <c r="G67" s="15" t="e">
        <f>IF(OR(G$63="C",G$63="E",G$63="J"),1,)</f>
        <v>#VALUE!</v>
      </c>
      <c r="H67" s="15" t="e">
        <f>IF(OR(H$63="C",H$63="E",H$63="J"),-1,)</f>
        <v>#VALUE!</v>
      </c>
      <c r="I67" s="15" t="e">
        <f>IF(OR(I$63="C",I$63="E",I$63="J"),-1,)</f>
        <v>#VALUE!</v>
      </c>
      <c r="J67" s="15" t="e">
        <f>IF(OR(J$63="C",J$63="E",J$63="J"),-1,)</f>
        <v>#VALUE!</v>
      </c>
      <c r="K67" s="15" t="e">
        <f>IF(OR(K$63="C",K$63="E",K$63="J"),-2,)</f>
        <v>#VALUE!</v>
      </c>
      <c r="L67" s="15" t="e">
        <f>IF(OR(L$63="C",L$63="E",L$63="J"),-2,)</f>
        <v>#VALUE!</v>
      </c>
      <c r="M67" s="15" t="e">
        <f>IF(OR(M$63="C",M$63="E",M$63="J"),-3,)</f>
        <v>#VALUE!</v>
      </c>
      <c r="N67" t="e">
        <f>SUM(B67:M67)</f>
        <v>#VALUE!</v>
      </c>
      <c r="O67" t="str">
        <f t="shared" si="2"/>
        <v>-</v>
      </c>
    </row>
    <row r="68" spans="1:21" hidden="1" x14ac:dyDescent="0.25">
      <c r="A68" t="s">
        <v>74</v>
      </c>
      <c r="B68" s="15" t="e">
        <f>IF(OR(B$63="H",B$63="I",B$63="P"),3,)</f>
        <v>#VALUE!</v>
      </c>
      <c r="C68" s="15" t="e">
        <f>IF(OR(C$63="H",C$63="I",C$63="P"),2,)</f>
        <v>#VALUE!</v>
      </c>
      <c r="D68" s="15" t="e">
        <f>IF(OR(D$63="H",D$63="I",D$63="P"),2,)</f>
        <v>#VALUE!</v>
      </c>
      <c r="E68" s="15" t="e">
        <f>IF(OR(E$63="H",E$63="I",E$63="P"),1,)</f>
        <v>#VALUE!</v>
      </c>
      <c r="F68" s="15" t="e">
        <f>IF(OR(F$63="H",F$63="I",F$63="P"),1,)</f>
        <v>#VALUE!</v>
      </c>
      <c r="G68" s="15" t="e">
        <f>IF(OR(G$63="H",G$63="I",G$63="P"),1,)</f>
        <v>#VALUE!</v>
      </c>
      <c r="H68" s="15" t="e">
        <f>IF(OR(H$63="H",H$63="I",H$63="P"),-1,)</f>
        <v>#VALUE!</v>
      </c>
      <c r="I68" s="15" t="e">
        <f>IF(OR(I$63="H",I$63="I",I$63="P"),-1,)</f>
        <v>#VALUE!</v>
      </c>
      <c r="J68" s="15" t="e">
        <f>IF(OR(J$63="H",J$63="I",J$63="P"),-1,)</f>
        <v>#VALUE!</v>
      </c>
      <c r="K68" s="15" t="e">
        <f>IF(OR(K$63="H",K$63="I",K$63="P"),-2,)</f>
        <v>#VALUE!</v>
      </c>
      <c r="L68" s="15" t="e">
        <f>IF(OR(L$63="H",L$63="I",L$63="P"),-2,)</f>
        <v>#VALUE!</v>
      </c>
      <c r="M68" s="15" t="e">
        <f>IF(OR(M$63="H",M$63="I",M$63="P"),-3,)</f>
        <v>#VALUE!</v>
      </c>
      <c r="N68" t="e">
        <f>SUM(B68:M68)</f>
        <v>#VALUE!</v>
      </c>
      <c r="O68" t="str">
        <f t="shared" si="2"/>
        <v>-</v>
      </c>
    </row>
    <row r="69" spans="1:21" x14ac:dyDescent="0.25">
      <c r="B69" s="15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</row>
    <row r="70" spans="1:21" x14ac:dyDescent="0.25">
      <c r="B70" t="s">
        <v>29</v>
      </c>
    </row>
    <row r="71" spans="1:21" ht="15.75" thickBot="1" x14ac:dyDescent="0.3"/>
    <row r="72" spans="1:21" x14ac:dyDescent="0.25">
      <c r="B72" s="2">
        <v>1</v>
      </c>
      <c r="C72" s="3">
        <v>2</v>
      </c>
      <c r="D72" s="3">
        <v>3</v>
      </c>
      <c r="E72" s="3">
        <v>4</v>
      </c>
      <c r="F72" s="3">
        <v>5</v>
      </c>
      <c r="G72" s="3">
        <v>6</v>
      </c>
      <c r="H72" s="9"/>
      <c r="I72" s="9"/>
      <c r="J72" s="9"/>
      <c r="K72" s="9"/>
      <c r="L72" s="9"/>
      <c r="M72" s="9"/>
      <c r="N72" s="9"/>
      <c r="O72" s="9"/>
      <c r="P72" s="3">
        <v>15</v>
      </c>
      <c r="Q72" s="3">
        <v>16</v>
      </c>
      <c r="R72" s="3">
        <v>17</v>
      </c>
      <c r="S72" s="3">
        <v>18</v>
      </c>
      <c r="T72" s="3">
        <v>19</v>
      </c>
      <c r="U72" s="4">
        <v>20</v>
      </c>
    </row>
    <row r="73" spans="1:21" ht="15.75" thickBot="1" x14ac:dyDescent="0.3">
      <c r="B73" s="28" t="s">
        <v>82</v>
      </c>
      <c r="C73" s="29" t="s">
        <v>64</v>
      </c>
      <c r="D73" s="29" t="s">
        <v>64</v>
      </c>
      <c r="E73" s="29" t="s">
        <v>65</v>
      </c>
      <c r="F73" s="29" t="s">
        <v>65</v>
      </c>
      <c r="G73" s="29" t="s">
        <v>65</v>
      </c>
      <c r="H73" s="30" t="s">
        <v>81</v>
      </c>
      <c r="I73" s="30" t="s">
        <v>81</v>
      </c>
      <c r="J73" s="30" t="s">
        <v>81</v>
      </c>
      <c r="K73" s="30" t="s">
        <v>81</v>
      </c>
      <c r="L73" s="30" t="s">
        <v>81</v>
      </c>
      <c r="M73" s="30" t="s">
        <v>81</v>
      </c>
      <c r="N73" s="30" t="s">
        <v>81</v>
      </c>
      <c r="O73" s="30" t="s">
        <v>81</v>
      </c>
      <c r="P73" s="29" t="s">
        <v>66</v>
      </c>
      <c r="Q73" s="29" t="s">
        <v>66</v>
      </c>
      <c r="R73" s="29" t="s">
        <v>66</v>
      </c>
      <c r="S73" s="29" t="s">
        <v>67</v>
      </c>
      <c r="T73" s="29" t="s">
        <v>67</v>
      </c>
      <c r="U73" s="31" t="s">
        <v>68</v>
      </c>
    </row>
    <row r="74" spans="1:21" ht="15.75" hidden="1" thickBot="1" x14ac:dyDescent="0.3">
      <c r="B74" s="5" t="e">
        <f>B63</f>
        <v>#VALUE!</v>
      </c>
      <c r="C74" s="6" t="e">
        <f t="shared" ref="C74:G74" si="3">C63</f>
        <v>#VALUE!</v>
      </c>
      <c r="D74" s="6" t="e">
        <f t="shared" si="3"/>
        <v>#VALUE!</v>
      </c>
      <c r="E74" s="6" t="e">
        <f t="shared" si="3"/>
        <v>#VALUE!</v>
      </c>
      <c r="F74" s="6" t="e">
        <f t="shared" si="3"/>
        <v>#VALUE!</v>
      </c>
      <c r="G74" s="6" t="e">
        <f t="shared" si="3"/>
        <v>#VALUE!</v>
      </c>
      <c r="H74" s="10"/>
      <c r="I74" s="10"/>
      <c r="J74" s="10"/>
      <c r="K74" s="10"/>
      <c r="L74" s="10"/>
      <c r="M74" s="10"/>
      <c r="N74" s="10"/>
      <c r="O74" s="10"/>
      <c r="P74" s="6" t="e">
        <f>H63</f>
        <v>#VALUE!</v>
      </c>
      <c r="Q74" s="6" t="e">
        <f t="shared" ref="Q74:U74" si="4">I63</f>
        <v>#VALUE!</v>
      </c>
      <c r="R74" s="6" t="e">
        <f t="shared" si="4"/>
        <v>#VALUE!</v>
      </c>
      <c r="S74" s="6" t="e">
        <f t="shared" si="4"/>
        <v>#VALUE!</v>
      </c>
      <c r="T74" s="6" t="e">
        <f t="shared" si="4"/>
        <v>#VALUE!</v>
      </c>
      <c r="U74" s="32" t="e">
        <f t="shared" si="4"/>
        <v>#VALUE!</v>
      </c>
    </row>
    <row r="75" spans="1:21" ht="15.75" thickBot="1" x14ac:dyDescent="0.3">
      <c r="B75" s="57" t="str">
        <f>IF(ISERROR(B74),"-",B74)</f>
        <v>-</v>
      </c>
      <c r="C75" s="58" t="str">
        <f t="shared" ref="C75:G75" si="5">IF(ISERROR(C74),"-",C74)</f>
        <v>-</v>
      </c>
      <c r="D75" s="58" t="str">
        <f t="shared" si="5"/>
        <v>-</v>
      </c>
      <c r="E75" s="58" t="str">
        <f t="shared" si="5"/>
        <v>-</v>
      </c>
      <c r="F75" s="58" t="str">
        <f t="shared" si="5"/>
        <v>-</v>
      </c>
      <c r="G75" s="58" t="str">
        <f t="shared" si="5"/>
        <v>-</v>
      </c>
      <c r="H75" s="59"/>
      <c r="I75" s="59"/>
      <c r="J75" s="59"/>
      <c r="K75" s="59"/>
      <c r="L75" s="59"/>
      <c r="M75" s="59"/>
      <c r="N75" s="59"/>
      <c r="O75" s="59"/>
      <c r="P75" s="58" t="str">
        <f t="shared" ref="P75:U75" si="6">IF(ISERROR(P74),"-",P74)</f>
        <v>-</v>
      </c>
      <c r="Q75" s="58" t="str">
        <f t="shared" si="6"/>
        <v>-</v>
      </c>
      <c r="R75" s="58" t="str">
        <f t="shared" si="6"/>
        <v>-</v>
      </c>
      <c r="S75" s="58" t="str">
        <f t="shared" si="6"/>
        <v>-</v>
      </c>
      <c r="T75" s="58" t="str">
        <f t="shared" si="6"/>
        <v>-</v>
      </c>
      <c r="U75" s="58" t="str">
        <f t="shared" si="6"/>
        <v>-</v>
      </c>
    </row>
    <row r="77" spans="1:21" x14ac:dyDescent="0.25">
      <c r="B77" s="1" t="s">
        <v>0</v>
      </c>
    </row>
    <row r="78" spans="1:21" ht="15.75" thickBot="1" x14ac:dyDescent="0.3"/>
    <row r="79" spans="1:21" ht="15.75" thickBot="1" x14ac:dyDescent="0.3">
      <c r="B79" s="11"/>
      <c r="C79" s="11"/>
      <c r="D79" s="40" t="str">
        <f>IF(B75="-","-", B75)</f>
        <v>-</v>
      </c>
      <c r="E79" s="41"/>
      <c r="F79" s="11"/>
      <c r="G79" s="21"/>
      <c r="I79" s="26"/>
    </row>
    <row r="80" spans="1:21" ht="15.75" thickBot="1" x14ac:dyDescent="0.3">
      <c r="B80" s="11"/>
      <c r="C80" s="38" t="str">
        <f>IF(C75="-","-",C75)</f>
        <v>-</v>
      </c>
      <c r="D80" s="39"/>
      <c r="E80" s="38" t="str">
        <f>IF(D75="-","-",D75)</f>
        <v>-</v>
      </c>
      <c r="F80" s="39"/>
      <c r="G80" s="11"/>
      <c r="H80" s="1"/>
      <c r="I80" s="26"/>
    </row>
    <row r="81" spans="2:12" ht="15.75" thickBot="1" x14ac:dyDescent="0.3">
      <c r="B81" s="38" t="str">
        <f>IF(E75="-","-",E75)</f>
        <v>-</v>
      </c>
      <c r="C81" s="39"/>
      <c r="D81" s="38" t="str">
        <f>IF(F75="-","-",F75)</f>
        <v>-</v>
      </c>
      <c r="E81" s="39"/>
      <c r="F81" s="38" t="str">
        <f>IF(G75="-","-",G75)</f>
        <v>-</v>
      </c>
      <c r="G81" s="39"/>
      <c r="I81" s="26"/>
    </row>
    <row r="82" spans="2:12" ht="15.75" thickBot="1" x14ac:dyDescent="0.3">
      <c r="B82" s="12"/>
      <c r="C82" s="13"/>
      <c r="D82" s="13"/>
      <c r="E82" s="13"/>
      <c r="F82" s="13"/>
      <c r="G82" s="14"/>
      <c r="I82" s="27"/>
    </row>
    <row r="83" spans="2:12" ht="15.75" thickBot="1" x14ac:dyDescent="0.3">
      <c r="B83" s="38" t="str">
        <f>IF(P75="-","-",P75)</f>
        <v>-</v>
      </c>
      <c r="C83" s="39"/>
      <c r="D83" s="38" t="str">
        <f>IF(Q75="-","-",Q75)</f>
        <v>-</v>
      </c>
      <c r="E83" s="39"/>
      <c r="F83" s="38" t="str">
        <f>IF(R75="-","-",R75)</f>
        <v>-</v>
      </c>
      <c r="G83" s="39"/>
      <c r="I83" s="26"/>
    </row>
    <row r="84" spans="2:12" ht="15.75" thickBot="1" x14ac:dyDescent="0.3">
      <c r="B84" s="11"/>
      <c r="C84" s="38" t="str">
        <f>IF(S75="-","-",S75)</f>
        <v>-</v>
      </c>
      <c r="D84" s="39"/>
      <c r="E84" s="38" t="str">
        <f>IF(T75="-","-",T75)</f>
        <v>-</v>
      </c>
      <c r="F84" s="39"/>
      <c r="G84" s="11"/>
      <c r="H84" s="1"/>
      <c r="I84" s="26"/>
    </row>
    <row r="85" spans="2:12" ht="15.75" thickBot="1" x14ac:dyDescent="0.3">
      <c r="B85" s="11"/>
      <c r="C85" s="11"/>
      <c r="D85" s="38" t="str">
        <f>IF(U75="-","-",U75)</f>
        <v>-</v>
      </c>
      <c r="E85" s="39"/>
      <c r="F85" s="11"/>
      <c r="G85" s="21"/>
      <c r="I85" s="26"/>
    </row>
    <row r="87" spans="2:12" x14ac:dyDescent="0.25">
      <c r="B87" s="1" t="s">
        <v>93</v>
      </c>
    </row>
    <row r="88" spans="2:12" ht="15.75" thickBot="1" x14ac:dyDescent="0.3"/>
    <row r="89" spans="2:12" ht="15.75" thickBot="1" x14ac:dyDescent="0.3">
      <c r="B89" s="23" t="s">
        <v>69</v>
      </c>
      <c r="C89" s="42" t="s">
        <v>75</v>
      </c>
      <c r="D89" s="43"/>
      <c r="E89" s="44" t="s">
        <v>76</v>
      </c>
      <c r="F89" s="45"/>
      <c r="G89" s="43" t="s">
        <v>77</v>
      </c>
      <c r="H89" s="43"/>
      <c r="I89" s="44" t="s">
        <v>78</v>
      </c>
      <c r="J89" s="45"/>
      <c r="K89" s="43" t="s">
        <v>79</v>
      </c>
      <c r="L89" s="46"/>
    </row>
    <row r="90" spans="2:12" ht="15.75" thickBot="1" x14ac:dyDescent="0.3">
      <c r="B90" s="24" t="s">
        <v>80</v>
      </c>
      <c r="C90" s="47" t="str">
        <f>O64</f>
        <v>-</v>
      </c>
      <c r="D90" s="48"/>
      <c r="E90" s="49" t="str">
        <f>O65</f>
        <v>-</v>
      </c>
      <c r="F90" s="50"/>
      <c r="G90" s="51" t="str">
        <f>O66</f>
        <v>-</v>
      </c>
      <c r="H90" s="51"/>
      <c r="I90" s="52" t="str">
        <f>O67</f>
        <v>-</v>
      </c>
      <c r="J90" s="53"/>
      <c r="K90" s="54" t="str">
        <f>O68</f>
        <v>-</v>
      </c>
      <c r="L90" s="55"/>
    </row>
    <row r="91" spans="2:12" x14ac:dyDescent="0.25">
      <c r="B91" s="25"/>
      <c r="C91" s="56"/>
      <c r="D91" s="56"/>
      <c r="E91" s="56"/>
      <c r="F91" s="56"/>
      <c r="G91" s="56"/>
      <c r="H91" s="56"/>
      <c r="I91" s="56"/>
      <c r="J91" s="56"/>
      <c r="K91" s="56"/>
      <c r="L91" s="56"/>
    </row>
    <row r="92" spans="2:12" x14ac:dyDescent="0.25">
      <c r="B92" s="16" t="s">
        <v>86</v>
      </c>
    </row>
    <row r="93" spans="2:12" x14ac:dyDescent="0.25">
      <c r="B93" t="s">
        <v>87</v>
      </c>
    </row>
    <row r="94" spans="2:12" x14ac:dyDescent="0.25">
      <c r="B94" t="s">
        <v>88</v>
      </c>
    </row>
    <row r="95" spans="2:12" x14ac:dyDescent="0.25">
      <c r="B95" t="s">
        <v>89</v>
      </c>
    </row>
    <row r="96" spans="2:12" x14ac:dyDescent="0.25">
      <c r="B96" t="s">
        <v>90</v>
      </c>
    </row>
    <row r="97" spans="2:2" x14ac:dyDescent="0.25">
      <c r="B97" t="s">
        <v>91</v>
      </c>
    </row>
    <row r="98" spans="2:2" x14ac:dyDescent="0.25">
      <c r="B98" t="s">
        <v>92</v>
      </c>
    </row>
    <row r="102" spans="2:2" x14ac:dyDescent="0.25">
      <c r="B102" s="34"/>
    </row>
  </sheetData>
  <sheetProtection sheet="1" objects="1" scenarios="1" selectLockedCells="1"/>
  <mergeCells count="27">
    <mergeCell ref="E84:F84"/>
    <mergeCell ref="D85:E85"/>
    <mergeCell ref="D79:E79"/>
    <mergeCell ref="C80:D80"/>
    <mergeCell ref="E80:F80"/>
    <mergeCell ref="B81:C81"/>
    <mergeCell ref="D81:E81"/>
    <mergeCell ref="F81:G81"/>
    <mergeCell ref="C91:D91"/>
    <mergeCell ref="E91:F91"/>
    <mergeCell ref="G91:H91"/>
    <mergeCell ref="I91:J91"/>
    <mergeCell ref="K91:L91"/>
    <mergeCell ref="C90:D90"/>
    <mergeCell ref="E90:F90"/>
    <mergeCell ref="G90:H90"/>
    <mergeCell ref="I90:J90"/>
    <mergeCell ref="K90:L90"/>
    <mergeCell ref="C89:D89"/>
    <mergeCell ref="E89:F89"/>
    <mergeCell ref="G89:H89"/>
    <mergeCell ref="I89:J89"/>
    <mergeCell ref="K89:L89"/>
    <mergeCell ref="B83:C83"/>
    <mergeCell ref="D83:E83"/>
    <mergeCell ref="F83:G83"/>
    <mergeCell ref="C84:D84"/>
  </mergeCells>
  <conditionalFormatting sqref="I78">
    <cfRule type="expression" priority="18">
      <formula>"B68=""K"" OU B68=""F"" OU B68=""N"" OU B68=""T"""</formula>
    </cfRule>
  </conditionalFormatting>
  <conditionalFormatting sqref="B79:G85">
    <cfRule type="cellIs" dxfId="16" priority="1" operator="equal">
      <formula>"J"</formula>
    </cfRule>
    <cfRule type="cellIs" dxfId="15" priority="2" operator="equal">
      <formula>"E"</formula>
    </cfRule>
    <cfRule type="cellIs" dxfId="14" priority="3" operator="equal">
      <formula>"C"</formula>
    </cfRule>
    <cfRule type="cellIs" dxfId="13" priority="4" operator="equal">
      <formula>"R"</formula>
    </cfRule>
    <cfRule type="cellIs" dxfId="12" priority="5" operator="equal">
      <formula>"Q"</formula>
    </cfRule>
    <cfRule type="cellIs" dxfId="11" priority="6" operator="equal">
      <formula>"M"</formula>
    </cfRule>
    <cfRule type="cellIs" dxfId="10" priority="7" operator="equal">
      <formula>"L"</formula>
    </cfRule>
    <cfRule type="cellIs" dxfId="9" priority="8" operator="equal">
      <formula>"D"</formula>
    </cfRule>
    <cfRule type="cellIs" dxfId="8" priority="9" operator="equal">
      <formula>"A"</formula>
    </cfRule>
    <cfRule type="cellIs" dxfId="7" priority="10" operator="equal">
      <formula>"S"</formula>
    </cfRule>
    <cfRule type="cellIs" dxfId="6" priority="11" operator="equal">
      <formula>"O"</formula>
    </cfRule>
    <cfRule type="cellIs" dxfId="5" priority="12" operator="equal">
      <formula>"G"</formula>
    </cfRule>
    <cfRule type="cellIs" dxfId="4" priority="13" operator="equal">
      <formula>"B"</formula>
    </cfRule>
    <cfRule type="cellIs" dxfId="3" priority="14" operator="equal">
      <formula>"T"</formula>
    </cfRule>
    <cfRule type="cellIs" dxfId="2" priority="15" operator="equal">
      <formula>"N"</formula>
    </cfRule>
    <cfRule type="cellIs" dxfId="1" priority="16" operator="equal">
      <formula>"K"</formula>
    </cfRule>
    <cfRule type="cellIs" dxfId="0" priority="17" operator="equal">
      <formula>"F"</formula>
    </cfRule>
  </conditionalFormatting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opLeftCell="M1" workbookViewId="0">
      <selection activeCell="W1" sqref="W1"/>
    </sheetView>
  </sheetViews>
  <sheetFormatPr baseColWidth="10" defaultRowHeight="15" x14ac:dyDescent="0.2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Feuil1</vt:lpstr>
      <vt:lpstr>Feuil2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 DELEPINE</dc:creator>
  <cp:lastModifiedBy>Marc DELEPINE</cp:lastModifiedBy>
  <dcterms:created xsi:type="dcterms:W3CDTF">2017-11-24T15:37:19Z</dcterms:created>
  <dcterms:modified xsi:type="dcterms:W3CDTF">2017-11-28T11:59:32Z</dcterms:modified>
</cp:coreProperties>
</file>